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zibi\Google Drive\RS Account\Magyar Légimentő Nonprofit Kft\Egyéb\Katinak 2023\"/>
    </mc:Choice>
  </mc:AlternateContent>
  <xr:revisionPtr revIDLastSave="0" documentId="13_ncr:1_{C5542F93-F5CA-4CE2-8EAB-A6EA14633FC6}" xr6:coauthVersionLast="47" xr6:coauthVersionMax="47" xr10:uidLastSave="{00000000-0000-0000-0000-000000000000}"/>
  <bookViews>
    <workbookView xWindow="-110" yWindow="-110" windowWidth="19420" windowHeight="10420" tabRatio="830" firstSheet="18" activeTab="24" xr2:uid="{00000000-000D-0000-FFFF-FFFF00000000}"/>
  </bookViews>
  <sheets>
    <sheet name="2018. I. név" sheetId="3" r:id="rId1"/>
    <sheet name="2018. II. név" sheetId="4" r:id="rId2"/>
    <sheet name="2018. III. név" sheetId="5" r:id="rId3"/>
    <sheet name="2018. IV. név" sheetId="6" r:id="rId4"/>
    <sheet name="2019. I. negyedév" sheetId="2" r:id="rId5"/>
    <sheet name="2019.II. negyedév" sheetId="7" r:id="rId6"/>
    <sheet name="2019. III. negyedév" sheetId="8" r:id="rId7"/>
    <sheet name="2019. IV. negyedév" sheetId="9" r:id="rId8"/>
    <sheet name="2020. I. negyedév" sheetId="10" r:id="rId9"/>
    <sheet name="2020. II. negyedév" sheetId="11" r:id="rId10"/>
    <sheet name="2020. III. negyedév" sheetId="12" r:id="rId11"/>
    <sheet name="2020.IV. negyedév" sheetId="13" r:id="rId12"/>
    <sheet name="2021. I. negyedév" sheetId="14" r:id="rId13"/>
    <sheet name="2021. II. negyedév" sheetId="15" r:id="rId14"/>
    <sheet name="2021. III. negyedév" sheetId="16" r:id="rId15"/>
    <sheet name="2021.IV.negyedév" sheetId="17" r:id="rId16"/>
    <sheet name="2022.I.negyedév" sheetId="18" r:id="rId17"/>
    <sheet name="2022.II.negyedév" sheetId="19" r:id="rId18"/>
    <sheet name="2022.III.negyedév" sheetId="20" r:id="rId19"/>
    <sheet name="2022.IV.negyedév" sheetId="21" r:id="rId20"/>
    <sheet name="2023.I.negyedév" sheetId="22" r:id="rId21"/>
    <sheet name="2023. II.negyedév" sheetId="23" r:id="rId22"/>
    <sheet name="2023. III.név" sheetId="24" r:id="rId23"/>
    <sheet name="2023.IV.név" sheetId="25" r:id="rId24"/>
    <sheet name="2024.I.név" sheetId="26" r:id="rId25"/>
    <sheet name="Összesítés" sheetId="1" r:id="rId26"/>
  </sheets>
  <definedNames>
    <definedName name="_xlnm.Print_Area" localSheetId="21">'2023. II.negyedév'!$A$1:$B$28</definedName>
    <definedName name="_xlnm.Print_Area" localSheetId="20">'2023.I.negyedév'!$A$1:$B$28</definedName>
    <definedName name="_xlnm.Print_Area" localSheetId="23">'2023.IV.név'!$A$1:$B$28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6" l="1"/>
  <c r="B21" i="26"/>
  <c r="B20" i="26"/>
  <c r="B14" i="26"/>
  <c r="B13" i="26"/>
  <c r="B12" i="26"/>
  <c r="B6" i="26"/>
  <c r="B5" i="26"/>
  <c r="B7" i="1"/>
  <c r="B15" i="1"/>
  <c r="B16" i="1"/>
  <c r="B14" i="1"/>
  <c r="B23" i="1"/>
  <c r="B30" i="1"/>
  <c r="B27" i="26"/>
  <c r="B11" i="26"/>
  <c r="B5" i="3"/>
  <c r="B5" i="4"/>
  <c r="B5" i="5"/>
  <c r="B5" i="6"/>
  <c r="B5" i="2"/>
  <c r="B5" i="7"/>
  <c r="B5" i="8"/>
  <c r="B5" i="9"/>
  <c r="B5" i="10"/>
  <c r="B5" i="11"/>
  <c r="B5" i="12"/>
  <c r="B5" i="13"/>
  <c r="B5" i="14"/>
  <c r="B5" i="15"/>
  <c r="B5" i="16"/>
  <c r="B5" i="17"/>
  <c r="B5" i="18"/>
  <c r="B5" i="19"/>
  <c r="B5" i="20"/>
  <c r="B5" i="21"/>
  <c r="B5" i="22"/>
  <c r="B5" i="23"/>
  <c r="B5" i="24"/>
  <c r="B5" i="25"/>
  <c r="C15" i="1"/>
  <c r="B13" i="25" s="1"/>
  <c r="C16" i="1"/>
  <c r="B14" i="25" s="1"/>
  <c r="C14" i="1"/>
  <c r="B12" i="25" s="1"/>
  <c r="B20" i="25"/>
  <c r="C30" i="1"/>
  <c r="C23" i="1"/>
  <c r="B21" i="25" s="1"/>
  <c r="C7" i="1"/>
  <c r="B6" i="25" s="1"/>
  <c r="D15" i="1"/>
  <c r="B13" i="24" s="1"/>
  <c r="D16" i="1"/>
  <c r="B14" i="24" s="1"/>
  <c r="D14" i="1"/>
  <c r="B12" i="24" s="1"/>
  <c r="D30" i="1"/>
  <c r="B28" i="24" s="1"/>
  <c r="D23" i="1"/>
  <c r="B21" i="24" s="1"/>
  <c r="D7" i="1"/>
  <c r="B6" i="24" s="1"/>
  <c r="B11" i="25"/>
  <c r="B27" i="24"/>
  <c r="B20" i="24"/>
  <c r="B11" i="24"/>
  <c r="B28" i="25"/>
  <c r="B27" i="25"/>
  <c r="E23" i="1"/>
  <c r="B21" i="23" s="1"/>
  <c r="E7" i="1"/>
  <c r="B6" i="23" s="1"/>
  <c r="E14" i="1"/>
  <c r="B12" i="23" s="1"/>
  <c r="E15" i="1"/>
  <c r="B13" i="23" s="1"/>
  <c r="E16" i="1"/>
  <c r="B14" i="23" s="1"/>
  <c r="B28" i="23"/>
  <c r="B27" i="23"/>
  <c r="B20" i="23"/>
  <c r="B11" i="23"/>
  <c r="F15" i="1"/>
  <c r="F23" i="1"/>
  <c r="F16" i="1"/>
  <c r="F14" i="1"/>
  <c r="B28" i="22" l="1"/>
  <c r="B27" i="22"/>
  <c r="B21" i="22"/>
  <c r="B20" i="22"/>
  <c r="B12" i="22"/>
  <c r="B13" i="22"/>
  <c r="B14" i="22"/>
  <c r="B11" i="22"/>
  <c r="F7" i="1"/>
  <c r="B6" i="22" s="1"/>
  <c r="B20" i="17"/>
  <c r="B20" i="18"/>
  <c r="B20" i="19"/>
  <c r="B20" i="20"/>
  <c r="B20" i="21"/>
  <c r="G7" i="1"/>
  <c r="B6" i="21" s="1"/>
  <c r="G23" i="1"/>
  <c r="G15" i="1"/>
  <c r="B13" i="21" s="1"/>
  <c r="G16" i="1"/>
  <c r="B14" i="21" s="1"/>
  <c r="G14" i="1"/>
  <c r="B12" i="21" s="1"/>
  <c r="B11" i="21"/>
  <c r="H7" i="1"/>
  <c r="B6" i="20" s="1"/>
  <c r="H23" i="1"/>
  <c r="B21" i="20" s="1"/>
  <c r="I7" i="1"/>
  <c r="B6" i="19" s="1"/>
  <c r="H16" i="1"/>
  <c r="B14" i="20" s="1"/>
  <c r="H15" i="1"/>
  <c r="B13" i="20" s="1"/>
  <c r="H14" i="1"/>
  <c r="B12" i="20" s="1"/>
  <c r="I15" i="1"/>
  <c r="B13" i="19" s="1"/>
  <c r="I16" i="1"/>
  <c r="B14" i="19" s="1"/>
  <c r="I14" i="1"/>
  <c r="B12" i="19" s="1"/>
  <c r="I23" i="1"/>
  <c r="B21" i="19" s="1"/>
  <c r="B11" i="20"/>
  <c r="B11" i="19"/>
  <c r="J23" i="1"/>
  <c r="B21" i="18" s="1"/>
  <c r="J7" i="1"/>
  <c r="B6" i="18" s="1"/>
  <c r="B11" i="18"/>
  <c r="J15" i="1"/>
  <c r="J14" i="1"/>
  <c r="J16" i="1"/>
  <c r="K15" i="1"/>
  <c r="B13" i="17" s="1"/>
  <c r="K16" i="1"/>
  <c r="B14" i="17" s="1"/>
  <c r="K14" i="1"/>
  <c r="B12" i="17" s="1"/>
  <c r="K23" i="1"/>
  <c r="B21" i="17" s="1"/>
  <c r="K7" i="1"/>
  <c r="B6" i="17" s="1"/>
  <c r="B11" i="17"/>
  <c r="L15" i="1"/>
  <c r="B13" i="16" s="1"/>
  <c r="L16" i="1"/>
  <c r="B14" i="16" s="1"/>
  <c r="L14" i="1"/>
  <c r="B12" i="16" s="1"/>
  <c r="L23" i="1"/>
  <c r="B21" i="16" s="1"/>
  <c r="L7" i="1"/>
  <c r="B6" i="16" s="1"/>
  <c r="B20" i="16"/>
  <c r="B11" i="16"/>
  <c r="B20" i="15"/>
  <c r="B11" i="15"/>
  <c r="M23" i="1"/>
  <c r="B21" i="15" s="1"/>
  <c r="M7" i="1"/>
  <c r="M16" i="1"/>
  <c r="M15" i="1"/>
  <c r="B13" i="15" s="1"/>
  <c r="M14" i="1"/>
  <c r="N23" i="1"/>
  <c r="B21" i="14" s="1"/>
  <c r="N7" i="1"/>
  <c r="B6" i="14" s="1"/>
  <c r="N16" i="1"/>
  <c r="B14" i="14" s="1"/>
  <c r="N15" i="1"/>
  <c r="B13" i="14" s="1"/>
  <c r="N14" i="1"/>
  <c r="B12" i="14" s="1"/>
  <c r="N30" i="1"/>
  <c r="B20" i="14"/>
  <c r="B11" i="14"/>
  <c r="B21" i="21" l="1"/>
  <c r="B14" i="18"/>
  <c r="B12" i="18"/>
  <c r="B13" i="18"/>
  <c r="B12" i="15"/>
  <c r="B6" i="15"/>
  <c r="B14" i="15"/>
  <c r="O7" i="1"/>
  <c r="B6" i="13" s="1"/>
  <c r="O23" i="1"/>
  <c r="B21" i="13" s="1"/>
  <c r="S23" i="1"/>
  <c r="O14" i="1"/>
  <c r="B12" i="13" s="1"/>
  <c r="O15" i="1"/>
  <c r="B13" i="13" s="1"/>
  <c r="O16" i="1"/>
  <c r="B14" i="13" s="1"/>
  <c r="B20" i="13"/>
  <c r="B11" i="13"/>
  <c r="P22" i="1" l="1"/>
  <c r="P15" i="1" l="1"/>
  <c r="P14" i="1"/>
  <c r="P16" i="1"/>
  <c r="P23" i="1" l="1"/>
  <c r="P7" i="1"/>
  <c r="Q7" i="1"/>
  <c r="B20" i="12" l="1"/>
  <c r="B21" i="12"/>
  <c r="B14" i="12"/>
  <c r="B13" i="12"/>
  <c r="B12" i="12"/>
  <c r="B11" i="12"/>
  <c r="B6" i="12"/>
  <c r="Q23" i="1" l="1"/>
  <c r="Q14" i="1"/>
  <c r="Q16" i="1"/>
  <c r="Q15" i="1"/>
  <c r="R7" i="1"/>
  <c r="B21" i="11" l="1"/>
  <c r="B20" i="11"/>
  <c r="B14" i="11"/>
  <c r="B13" i="11"/>
  <c r="B12" i="11"/>
  <c r="B11" i="11"/>
  <c r="B6" i="11"/>
  <c r="S16" i="1" l="1"/>
  <c r="S15" i="1"/>
  <c r="S14" i="1"/>
  <c r="S7" i="1"/>
  <c r="T16" i="1"/>
  <c r="T15" i="1"/>
  <c r="T14" i="1"/>
  <c r="T23" i="1"/>
  <c r="T7" i="1"/>
  <c r="R23" i="1"/>
  <c r="R16" i="1"/>
  <c r="R15" i="1"/>
  <c r="R14" i="1"/>
  <c r="U7" i="1"/>
  <c r="B21" i="10" l="1"/>
  <c r="B20" i="10"/>
  <c r="B12" i="10"/>
  <c r="B13" i="10"/>
  <c r="B14" i="10"/>
  <c r="B11" i="10"/>
  <c r="B6" i="10"/>
  <c r="B21" i="9"/>
  <c r="B20" i="9"/>
  <c r="B12" i="9"/>
  <c r="B13" i="9"/>
  <c r="B14" i="9"/>
  <c r="B11" i="9"/>
  <c r="B6" i="9"/>
  <c r="B21" i="8"/>
  <c r="B20" i="8"/>
  <c r="B12" i="8"/>
  <c r="B13" i="8"/>
  <c r="B14" i="8"/>
  <c r="B11" i="8"/>
  <c r="B6" i="8"/>
  <c r="B20" i="7" l="1"/>
  <c r="U23" i="1"/>
  <c r="B21" i="7" s="1"/>
  <c r="B6" i="7"/>
  <c r="U16" i="1"/>
  <c r="B14" i="7" s="1"/>
  <c r="U15" i="1"/>
  <c r="B13" i="7" s="1"/>
  <c r="U14" i="1"/>
  <c r="B12" i="7" s="1"/>
  <c r="B11" i="7"/>
  <c r="B14" i="6" l="1"/>
  <c r="B13" i="6"/>
  <c r="B12" i="6"/>
  <c r="B21" i="6"/>
  <c r="B6" i="6"/>
  <c r="B21" i="5"/>
  <c r="B14" i="5"/>
  <c r="B13" i="5"/>
  <c r="B12" i="5"/>
  <c r="B6" i="5"/>
  <c r="B21" i="4"/>
  <c r="B14" i="4"/>
  <c r="B13" i="4"/>
  <c r="B12" i="4"/>
  <c r="B6" i="4"/>
  <c r="B21" i="3"/>
  <c r="B14" i="3"/>
  <c r="B13" i="3"/>
  <c r="B12" i="3"/>
  <c r="B6" i="3"/>
  <c r="B21" i="2"/>
  <c r="B14" i="2"/>
  <c r="B13" i="2"/>
  <c r="B12" i="2"/>
  <c r="B6" i="2"/>
  <c r="V23" i="1"/>
  <c r="V7" i="1"/>
  <c r="X23" i="1"/>
  <c r="W23" i="1"/>
  <c r="W7" i="1"/>
  <c r="Z7" i="1"/>
  <c r="Y7" i="1"/>
  <c r="X7" i="1"/>
  <c r="Y23" i="1"/>
  <c r="Z23" i="1"/>
  <c r="W15" i="1"/>
  <c r="V15" i="1"/>
  <c r="V14" i="1"/>
  <c r="W14" i="1"/>
  <c r="Z14" i="1"/>
  <c r="Y14" i="1"/>
  <c r="X14" i="1"/>
  <c r="X15" i="1"/>
  <c r="V16" i="1" l="1"/>
  <c r="W16" i="1"/>
  <c r="Z15" i="1"/>
  <c r="Z16" i="1"/>
  <c r="Y15" i="1"/>
  <c r="Y16" i="1"/>
  <c r="X16" i="1"/>
</calcChain>
</file>

<file path=xl/sharedStrings.xml><?xml version="1.0" encoding="utf-8"?>
<sst xmlns="http://schemas.openxmlformats.org/spreadsheetml/2006/main" count="462" uniqueCount="70">
  <si>
    <t>A közfeladatot ellátó szervnél foglalkoztatottak létszáma személyi juttatásaira vonatkozó összesített adat</t>
  </si>
  <si>
    <t>Létszám</t>
  </si>
  <si>
    <t>2019. I. név</t>
  </si>
  <si>
    <t>2018. IV. név</t>
  </si>
  <si>
    <t>2018. I. név</t>
  </si>
  <si>
    <t>2018. II. név</t>
  </si>
  <si>
    <t>Megbízásos jogviszony</t>
  </si>
  <si>
    <t>Egyéb alkalmazottaknak nyújtott juttatások</t>
  </si>
  <si>
    <t>létszám</t>
  </si>
  <si>
    <t>2018. III. név</t>
  </si>
  <si>
    <t xml:space="preserve">Összesített havi munkabér </t>
  </si>
  <si>
    <t>Összesített havi rendszeres juttatás</t>
  </si>
  <si>
    <t>Összesített havi költségtérítés</t>
  </si>
  <si>
    <t xml:space="preserve">Vezetők, vezető tisztségviselők </t>
  </si>
  <si>
    <t>Összesített havi jutatás</t>
  </si>
  <si>
    <t>Összesített havi személyi juttatás</t>
  </si>
  <si>
    <t>Létszám (fő)</t>
  </si>
  <si>
    <t>Összesített havi személyi juttatás (eFt)</t>
  </si>
  <si>
    <t>Összesített havi munkabére (eFt)</t>
  </si>
  <si>
    <t>Összesített havi rendszeres juttatása (eFt)</t>
  </si>
  <si>
    <t>Összesített havi költségtérítés (eFt)</t>
  </si>
  <si>
    <t>Összesített havi jutatás (eFt)</t>
  </si>
  <si>
    <t>2018. április 1.-június 30.</t>
  </si>
  <si>
    <t>2018. január 1.-március 31.</t>
  </si>
  <si>
    <t>2019. január 1.-március 31.</t>
  </si>
  <si>
    <t>2018. július 1.-szeptember 30.</t>
  </si>
  <si>
    <t>2018. október 1.-december 31.</t>
  </si>
  <si>
    <t>2019. II. név</t>
  </si>
  <si>
    <t>2019. április 1.-június 30.</t>
  </si>
  <si>
    <t>2019. július 1.-szeptember 30.</t>
  </si>
  <si>
    <t>2019. október 1.-december 31.</t>
  </si>
  <si>
    <t>2020. I. név</t>
  </si>
  <si>
    <t>2019. IV. név</t>
  </si>
  <si>
    <t>2019. III. név</t>
  </si>
  <si>
    <t>2020. II. név</t>
  </si>
  <si>
    <t>2020. március 1.-június 30.</t>
  </si>
  <si>
    <t>2020. január 1.-március 31.</t>
  </si>
  <si>
    <t>2020. III. név</t>
  </si>
  <si>
    <t>FB-tagoknak tiszteletdíja és egyéb költségtérítése</t>
  </si>
  <si>
    <t>Összesített havi tiszteletdíj</t>
  </si>
  <si>
    <t>2020. július 1.-szeptember 30.</t>
  </si>
  <si>
    <t>2020. IV. név</t>
  </si>
  <si>
    <t>2020. október 1.-december 31.</t>
  </si>
  <si>
    <t>2021. I. név</t>
  </si>
  <si>
    <t>2021. január 1.-március 31.</t>
  </si>
  <si>
    <t>2021. II. név</t>
  </si>
  <si>
    <t>2021. április 1.-június 30.</t>
  </si>
  <si>
    <t>2021. július 1.- szeptember 30.</t>
  </si>
  <si>
    <t>2021. III. név</t>
  </si>
  <si>
    <t>2021. IV. név</t>
  </si>
  <si>
    <t>2021. október 1.- december 31.</t>
  </si>
  <si>
    <t>2022. I. név</t>
  </si>
  <si>
    <t>2022. január 1- március 31.</t>
  </si>
  <si>
    <t>2022. április 1- június 30.</t>
  </si>
  <si>
    <t>2022. július 1- augusztus 30.</t>
  </si>
  <si>
    <t>2022. III. név</t>
  </si>
  <si>
    <t>2022. II. név</t>
  </si>
  <si>
    <t>2022. szeptember 1- december 31.</t>
  </si>
  <si>
    <t>2022. IV. név</t>
  </si>
  <si>
    <t>2023. január 1- március 31.</t>
  </si>
  <si>
    <t>2023. I. név.</t>
  </si>
  <si>
    <t>2023. II. név.</t>
  </si>
  <si>
    <t>2023. április 1- június 30.</t>
  </si>
  <si>
    <t>2023. július 1- szeptember 30.</t>
  </si>
  <si>
    <t>2023. október 1- december 31.</t>
  </si>
  <si>
    <t>2023. III. név.</t>
  </si>
  <si>
    <t>2023. IV. név.</t>
  </si>
  <si>
    <t>Átlagosan foglalkoztatottak száma</t>
  </si>
  <si>
    <t>2024. január 1- március 31.</t>
  </si>
  <si>
    <t>2024. I. név.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</si>
</sst>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4" xfId="0" applyBorder="1"/>
    <xf numFmtId="165" fontId="0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5" fontId="0" fillId="0" borderId="0" xfId="1" applyNumberFormat="1" applyFont="1" applyBorder="1"/>
    <xf numFmtId="0" fontId="0" fillId="0" borderId="2" xfId="0" applyBorder="1"/>
    <xf numFmtId="165" fontId="0" fillId="0" borderId="3" xfId="1" applyNumberFormat="1" applyFont="1" applyBorder="1"/>
    <xf numFmtId="165" fontId="2" fillId="0" borderId="0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3" xfId="1" applyNumberFormat="1" applyFont="1" applyFill="1" applyBorder="1"/>
    <xf numFmtId="165" fontId="0" fillId="0" borderId="5" xfId="1" applyNumberFormat="1" applyFont="1" applyFill="1" applyBorder="1"/>
    <xf numFmtId="165" fontId="0" fillId="0" borderId="7" xfId="1" applyNumberFormat="1" applyFont="1" applyFill="1" applyBorder="1"/>
    <xf numFmtId="165" fontId="0" fillId="0" borderId="0" xfId="0" applyNumberFormat="1"/>
    <xf numFmtId="0" fontId="0" fillId="0" borderId="1" xfId="0" applyBorder="1"/>
    <xf numFmtId="165" fontId="5" fillId="0" borderId="3" xfId="1" applyNumberFormat="1" applyFont="1" applyFill="1" applyBorder="1"/>
    <xf numFmtId="165" fontId="5" fillId="0" borderId="7" xfId="1" applyNumberFormat="1" applyFont="1" applyFill="1" applyBorder="1"/>
    <xf numFmtId="165" fontId="5" fillId="0" borderId="5" xfId="1" applyNumberFormat="1" applyFont="1" applyFill="1" applyBorder="1"/>
    <xf numFmtId="0" fontId="2" fillId="0" borderId="1" xfId="0" applyFont="1" applyBorder="1"/>
    <xf numFmtId="165" fontId="0" fillId="0" borderId="1" xfId="1" applyNumberFormat="1" applyFont="1" applyFill="1" applyBorder="1"/>
    <xf numFmtId="0" fontId="6" fillId="0" borderId="0" xfId="0" applyFont="1"/>
    <xf numFmtId="0" fontId="5" fillId="0" borderId="0" xfId="0" applyFont="1"/>
    <xf numFmtId="165" fontId="5" fillId="0" borderId="0" xfId="1" applyNumberFormat="1" applyFont="1"/>
    <xf numFmtId="165" fontId="0" fillId="0" borderId="0" xfId="1" applyNumberFormat="1" applyFont="1" applyFill="1" applyBorder="1"/>
    <xf numFmtId="165" fontId="0" fillId="0" borderId="11" xfId="1" applyNumberFormat="1" applyFont="1" applyFill="1" applyBorder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165" fontId="9" fillId="0" borderId="1" xfId="1" applyNumberFormat="1" applyFont="1" applyFill="1" applyBorder="1"/>
    <xf numFmtId="165" fontId="9" fillId="0" borderId="3" xfId="1" applyNumberFormat="1" applyFont="1" applyFill="1" applyBorder="1"/>
    <xf numFmtId="165" fontId="9" fillId="0" borderId="5" xfId="1" applyNumberFormat="1" applyFont="1" applyFill="1" applyBorder="1"/>
    <xf numFmtId="165" fontId="9" fillId="0" borderId="7" xfId="1" applyNumberFormat="1" applyFont="1" applyFill="1" applyBorder="1"/>
    <xf numFmtId="165" fontId="9" fillId="0" borderId="0" xfId="1" applyNumberFormat="1" applyFont="1"/>
    <xf numFmtId="165" fontId="9" fillId="0" borderId="0" xfId="1" applyNumberFormat="1" applyFont="1" applyBorder="1"/>
    <xf numFmtId="165" fontId="8" fillId="0" borderId="0" xfId="1" applyNumberFormat="1" applyFont="1" applyBorder="1"/>
    <xf numFmtId="0" fontId="3" fillId="0" borderId="1" xfId="0" applyFont="1" applyBorder="1" applyAlignment="1">
      <alignment horizontal="left"/>
    </xf>
    <xf numFmtId="165" fontId="9" fillId="0" borderId="1" xfId="1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B6" sqref="B6"/>
    </sheetView>
  </sheetViews>
  <sheetFormatPr defaultRowHeight="14.5" x14ac:dyDescent="0.35"/>
  <cols>
    <col min="1" max="1" width="38.81640625" customWidth="1"/>
    <col min="2" max="2" width="21.81640625" customWidth="1"/>
  </cols>
  <sheetData>
    <row r="1" spans="1:2" x14ac:dyDescent="0.35">
      <c r="A1" s="9" t="s">
        <v>23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12">
        <f>Összesítés!Z6</f>
        <v>66</v>
      </c>
    </row>
    <row r="6" spans="1:2" ht="15" thickBot="1" x14ac:dyDescent="0.4">
      <c r="A6" s="5" t="s">
        <v>17</v>
      </c>
      <c r="B6" s="6">
        <f>+(119577490+6504774+251448+8685979+7456240+20259200-475000-16104000-2088600-600000)/3/1000</f>
        <v>47822.510333333339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12">
        <v>10</v>
      </c>
    </row>
    <row r="12" spans="1:2" x14ac:dyDescent="0.35">
      <c r="A12" s="3" t="s">
        <v>18</v>
      </c>
      <c r="B12" s="4">
        <f>+(18593225+630775)/3/1000</f>
        <v>6408</v>
      </c>
    </row>
    <row r="13" spans="1:2" x14ac:dyDescent="0.35">
      <c r="A13" s="3" t="s">
        <v>19</v>
      </c>
      <c r="B13" s="4">
        <f>+(843091+3906366-181686-252879)/3/1000</f>
        <v>1438.2973333333332</v>
      </c>
    </row>
    <row r="14" spans="1:2" ht="15" thickBot="1" x14ac:dyDescent="0.4">
      <c r="A14" s="5" t="s">
        <v>20</v>
      </c>
      <c r="B14" s="6">
        <f>+(401910+252879+181686)/3/1000</f>
        <v>278.82499999999999</v>
      </c>
    </row>
    <row r="15" spans="1:2" x14ac:dyDescent="0.35">
      <c r="B15" s="1"/>
    </row>
    <row r="16" spans="1:2" x14ac:dyDescent="0.35">
      <c r="B16" s="1"/>
    </row>
    <row r="17" spans="1:2" s="9" customFormat="1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4">
        <v>9</v>
      </c>
    </row>
    <row r="21" spans="1:2" ht="15" thickBot="1" x14ac:dyDescent="0.4">
      <c r="A21" s="5" t="s">
        <v>21</v>
      </c>
      <c r="B21" s="6">
        <f>+(475000+1610400+2088600+600000)/3/1000</f>
        <v>1591.3333333333333</v>
      </c>
    </row>
  </sheetData>
  <mergeCells count="1"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6" sqref="B6"/>
    </sheetView>
  </sheetViews>
  <sheetFormatPr defaultRowHeight="14.5" x14ac:dyDescent="0.35"/>
  <cols>
    <col min="1" max="1" width="40.1796875" customWidth="1"/>
    <col min="2" max="2" width="14.54296875" customWidth="1"/>
  </cols>
  <sheetData>
    <row r="1" spans="1:2" x14ac:dyDescent="0.35">
      <c r="A1" s="9" t="s">
        <v>22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12">
        <f>Összesítés!Y6</f>
        <v>66</v>
      </c>
    </row>
    <row r="6" spans="1:2" ht="15" thickBot="1" x14ac:dyDescent="0.4">
      <c r="A6" s="5" t="s">
        <v>17</v>
      </c>
      <c r="B6" s="6">
        <f>+(129214818+1425+689719+449155+2142601+1644680+237910+87775+6449939+7679655+350024+24226402)/3/1000</f>
        <v>57724.701000000001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12">
        <v>10</v>
      </c>
    </row>
    <row r="12" spans="1:2" x14ac:dyDescent="0.35">
      <c r="A12" s="3" t="s">
        <v>18</v>
      </c>
      <c r="B12" s="4">
        <f>+(18347696+934304)/3/1000</f>
        <v>6427.333333333333</v>
      </c>
    </row>
    <row r="13" spans="1:2" x14ac:dyDescent="0.35">
      <c r="A13" s="3" t="s">
        <v>19</v>
      </c>
      <c r="B13" s="4">
        <f>+(828011+4257565-220296-335070)/3/1000</f>
        <v>1510.07</v>
      </c>
    </row>
    <row r="14" spans="1:2" ht="15" thickBot="1" x14ac:dyDescent="0.4">
      <c r="A14" s="5" t="s">
        <v>20</v>
      </c>
      <c r="B14" s="6">
        <f>+(797373+220296+335070)/3/1000</f>
        <v>450.91300000000001</v>
      </c>
    </row>
    <row r="15" spans="1:2" x14ac:dyDescent="0.35">
      <c r="B15" s="1"/>
    </row>
    <row r="16" spans="1:2" x14ac:dyDescent="0.35">
      <c r="B16" s="1"/>
    </row>
    <row r="17" spans="1:2" s="9" customFormat="1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7" t="s">
        <v>6</v>
      </c>
      <c r="B19" s="48"/>
    </row>
    <row r="20" spans="1:2" x14ac:dyDescent="0.35">
      <c r="A20" s="3" t="s">
        <v>16</v>
      </c>
      <c r="B20" s="4">
        <v>9</v>
      </c>
    </row>
    <row r="21" spans="1:2" ht="15" thickBot="1" x14ac:dyDescent="0.4">
      <c r="A21" s="5" t="s">
        <v>21</v>
      </c>
      <c r="B21" s="6">
        <f>+(1504000+1665300+2074800+1770000)/3/1000</f>
        <v>2338.0333333333333</v>
      </c>
    </row>
  </sheetData>
  <mergeCells count="1"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B6" sqref="B6"/>
    </sheetView>
  </sheetViews>
  <sheetFormatPr defaultRowHeight="14.5" x14ac:dyDescent="0.35"/>
  <cols>
    <col min="1" max="1" width="38.54296875" customWidth="1"/>
    <col min="2" max="2" width="16.81640625" customWidth="1"/>
  </cols>
  <sheetData>
    <row r="1" spans="1:2" x14ac:dyDescent="0.35">
      <c r="A1" s="9" t="s">
        <v>25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12">
        <f>Összesítés!X6</f>
        <v>67</v>
      </c>
    </row>
    <row r="6" spans="1:2" ht="15" thickBot="1" x14ac:dyDescent="0.4">
      <c r="A6" s="5" t="s">
        <v>17</v>
      </c>
      <c r="B6" s="6">
        <f>+(130246991+668942+58975+1766918+3204+18630+1349670+248055+4646984+12070599+372951+22357912)/3/1000</f>
        <v>57936.610333333338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12">
        <v>10</v>
      </c>
    </row>
    <row r="12" spans="1:2" x14ac:dyDescent="0.35">
      <c r="A12" s="3" t="s">
        <v>18</v>
      </c>
      <c r="B12" s="4">
        <f>+(17788410+2931590)/3/1000</f>
        <v>6906.666666666667</v>
      </c>
    </row>
    <row r="13" spans="1:2" x14ac:dyDescent="0.35">
      <c r="A13" s="3" t="s">
        <v>19</v>
      </c>
      <c r="B13" s="4">
        <f>+(851609+4007322-225183-197139)/3/1000</f>
        <v>1478.8696666666667</v>
      </c>
    </row>
    <row r="14" spans="1:2" ht="15" thickBot="1" x14ac:dyDescent="0.4">
      <c r="A14" s="5" t="s">
        <v>20</v>
      </c>
      <c r="B14" s="6">
        <f>+(476482+197139+225183)/3/1000</f>
        <v>299.60133333333329</v>
      </c>
    </row>
    <row r="15" spans="1:2" x14ac:dyDescent="0.35">
      <c r="B15" s="1"/>
    </row>
    <row r="16" spans="1:2" x14ac:dyDescent="0.35">
      <c r="B16" s="1"/>
    </row>
    <row r="17" spans="1:2" s="9" customFormat="1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7" t="s">
        <v>6</v>
      </c>
      <c r="B19" s="48"/>
    </row>
    <row r="20" spans="1:2" x14ac:dyDescent="0.35">
      <c r="A20" s="3" t="s">
        <v>16</v>
      </c>
      <c r="B20" s="4">
        <v>10</v>
      </c>
    </row>
    <row r="21" spans="1:2" ht="15" thickBot="1" x14ac:dyDescent="0.4">
      <c r="A21" s="5" t="s">
        <v>21</v>
      </c>
      <c r="B21" s="6">
        <f>+(2755000+1665300+2052000+1122500)/3/1000</f>
        <v>2531.6</v>
      </c>
    </row>
  </sheetData>
  <mergeCells count="1"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"/>
  <sheetViews>
    <sheetView workbookViewId="0">
      <selection activeCell="B6" sqref="B6"/>
    </sheetView>
  </sheetViews>
  <sheetFormatPr defaultRowHeight="14.5" x14ac:dyDescent="0.35"/>
  <cols>
    <col min="1" max="1" width="40.1796875" customWidth="1"/>
    <col min="2" max="2" width="13.54296875" bestFit="1" customWidth="1"/>
  </cols>
  <sheetData>
    <row r="1" spans="1:2" x14ac:dyDescent="0.35">
      <c r="A1" s="9" t="s">
        <v>26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14">
        <f>Összesítés!W6</f>
        <v>66</v>
      </c>
    </row>
    <row r="6" spans="1:2" ht="15" thickBot="1" x14ac:dyDescent="0.4">
      <c r="A6" s="5" t="s">
        <v>17</v>
      </c>
      <c r="B6" s="15">
        <f>+(118300604+8393496+676836+7660+2471520+46811+52459+1146905+142330+160345+25394333+25984230)/3/1000</f>
        <v>60925.843000000001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12">
        <v>10</v>
      </c>
    </row>
    <row r="12" spans="1:2" x14ac:dyDescent="0.35">
      <c r="A12" s="3" t="s">
        <v>18</v>
      </c>
      <c r="B12" s="4">
        <f>+(16370893+2653607)/3/1000</f>
        <v>6341.5</v>
      </c>
    </row>
    <row r="13" spans="1:2" x14ac:dyDescent="0.35">
      <c r="A13" s="3" t="s">
        <v>19</v>
      </c>
      <c r="B13" s="4">
        <f>+(886181+240000+184000+3291000)/3/1000</f>
        <v>1533.7270000000001</v>
      </c>
    </row>
    <row r="14" spans="1:2" ht="15" thickBot="1" x14ac:dyDescent="0.4">
      <c r="A14" s="5" t="s">
        <v>20</v>
      </c>
      <c r="B14" s="6">
        <f>+(667834+379009+153149)/3/1000</f>
        <v>399.9973333333333</v>
      </c>
    </row>
    <row r="15" spans="1:2" x14ac:dyDescent="0.35">
      <c r="B15" s="1"/>
    </row>
    <row r="16" spans="1:2" x14ac:dyDescent="0.35">
      <c r="B16" s="1"/>
    </row>
    <row r="17" spans="1:2" s="9" customFormat="1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7" t="s">
        <v>6</v>
      </c>
      <c r="B19" s="48"/>
    </row>
    <row r="20" spans="1:2" x14ac:dyDescent="0.35">
      <c r="A20" s="3" t="s">
        <v>16</v>
      </c>
      <c r="B20" s="4">
        <v>10</v>
      </c>
    </row>
    <row r="21" spans="1:2" ht="15" thickBot="1" x14ac:dyDescent="0.4">
      <c r="A21" s="5" t="s">
        <v>21</v>
      </c>
      <c r="B21" s="6">
        <f>+(1505000+1683600+2097600+9618800)/3/1000</f>
        <v>4968.333333333333</v>
      </c>
    </row>
  </sheetData>
  <mergeCells count="1">
    <mergeCell ref="A19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workbookViewId="0">
      <selection activeCell="B6" sqref="B6"/>
    </sheetView>
  </sheetViews>
  <sheetFormatPr defaultRowHeight="14.5" x14ac:dyDescent="0.35"/>
  <cols>
    <col min="1" max="1" width="39.453125" customWidth="1"/>
    <col min="2" max="2" width="18" customWidth="1"/>
  </cols>
  <sheetData>
    <row r="1" spans="1:2" x14ac:dyDescent="0.35">
      <c r="A1" s="9" t="s">
        <v>24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12">
        <f>Összesítés!V6</f>
        <v>65</v>
      </c>
    </row>
    <row r="6" spans="1:2" ht="15" thickBot="1" x14ac:dyDescent="0.4">
      <c r="A6" s="5" t="s">
        <v>17</v>
      </c>
      <c r="B6" s="6">
        <f>+(135400544+10781472+615445+588349+137395+7120+527058+110672+58512+1122435+647965+7805085+8854542)/3/1000</f>
        <v>55552.197999999997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12">
        <v>10</v>
      </c>
    </row>
    <row r="12" spans="1:2" x14ac:dyDescent="0.35">
      <c r="A12" s="3" t="s">
        <v>18</v>
      </c>
      <c r="B12" s="4">
        <f>+(22238549+735451)/3/1000</f>
        <v>7658</v>
      </c>
    </row>
    <row r="13" spans="1:2" x14ac:dyDescent="0.35">
      <c r="A13" s="3" t="s">
        <v>19</v>
      </c>
      <c r="B13" s="4">
        <f>4498500/3/1000</f>
        <v>1499.5</v>
      </c>
    </row>
    <row r="14" spans="1:2" ht="15" thickBot="1" x14ac:dyDescent="0.4">
      <c r="A14" s="5" t="s">
        <v>20</v>
      </c>
      <c r="B14" s="6">
        <f>+(322803+429558)/3/1000</f>
        <v>250.78700000000001</v>
      </c>
    </row>
    <row r="15" spans="1:2" x14ac:dyDescent="0.35">
      <c r="B15" s="1"/>
    </row>
    <row r="16" spans="1:2" x14ac:dyDescent="0.35">
      <c r="B16" s="1"/>
    </row>
    <row r="17" spans="1:2" s="9" customFormat="1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4">
        <v>10</v>
      </c>
    </row>
    <row r="21" spans="1:2" ht="15" thickBot="1" x14ac:dyDescent="0.4">
      <c r="A21" s="5" t="s">
        <v>21</v>
      </c>
      <c r="B21" s="6">
        <f>+(629000+2052000+1665300+1245600)/3/1000</f>
        <v>1863.9666666666667</v>
      </c>
    </row>
  </sheetData>
  <mergeCells count="1">
    <mergeCell ref="A19:B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B6" sqref="B6"/>
    </sheetView>
  </sheetViews>
  <sheetFormatPr defaultRowHeight="14.5" x14ac:dyDescent="0.35"/>
  <cols>
    <col min="1" max="1" width="39.453125" customWidth="1"/>
    <col min="2" max="2" width="18" customWidth="1"/>
  </cols>
  <sheetData>
    <row r="1" spans="1:2" x14ac:dyDescent="0.35">
      <c r="A1" s="9" t="s">
        <v>28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16">
        <f>Összesítés!U6</f>
        <v>65</v>
      </c>
    </row>
    <row r="6" spans="1:2" ht="15" thickBot="1" x14ac:dyDescent="0.4">
      <c r="A6" s="5" t="s">
        <v>17</v>
      </c>
      <c r="B6" s="18">
        <f>+Összesítés!U7/1000</f>
        <v>62564.214999999997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16">
        <f>+Összesítés!U13</f>
        <v>10</v>
      </c>
    </row>
    <row r="12" spans="1:2" x14ac:dyDescent="0.35">
      <c r="A12" s="3" t="s">
        <v>18</v>
      </c>
      <c r="B12" s="17">
        <f>+Összesítés!U14/1000</f>
        <v>7603</v>
      </c>
    </row>
    <row r="13" spans="1:2" x14ac:dyDescent="0.35">
      <c r="A13" s="3" t="s">
        <v>19</v>
      </c>
      <c r="B13" s="17">
        <f>+Összesítés!U15/1000</f>
        <v>1468.8893333333333</v>
      </c>
    </row>
    <row r="14" spans="1:2" ht="15" thickBot="1" x14ac:dyDescent="0.4">
      <c r="A14" s="5" t="s">
        <v>20</v>
      </c>
      <c r="B14" s="18">
        <f>+Összesítés!U16/1000</f>
        <v>253.351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17">
        <f>+Összesítés!U22</f>
        <v>35</v>
      </c>
    </row>
    <row r="21" spans="1:6" ht="15" thickBot="1" x14ac:dyDescent="0.4">
      <c r="A21" s="5" t="s">
        <v>21</v>
      </c>
      <c r="B21" s="18">
        <f>+Összesítés!U23/1000</f>
        <v>4158.4666666666662</v>
      </c>
    </row>
  </sheetData>
  <mergeCells count="1"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B6" sqref="B6"/>
    </sheetView>
  </sheetViews>
  <sheetFormatPr defaultRowHeight="14.5" x14ac:dyDescent="0.35"/>
  <cols>
    <col min="1" max="1" width="39.453125" customWidth="1"/>
    <col min="2" max="2" width="18" customWidth="1"/>
  </cols>
  <sheetData>
    <row r="1" spans="1:2" x14ac:dyDescent="0.35">
      <c r="A1" s="9" t="s">
        <v>29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Összesítés!T6</f>
        <v>66</v>
      </c>
    </row>
    <row r="6" spans="1:2" ht="15" thickBot="1" x14ac:dyDescent="0.4">
      <c r="A6" s="5" t="s">
        <v>17</v>
      </c>
      <c r="B6" s="22">
        <f>+Összesítés!T7</f>
        <v>61830487.333333336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+Összesítés!T13</f>
        <v>10</v>
      </c>
    </row>
    <row r="12" spans="1:2" x14ac:dyDescent="0.35">
      <c r="A12" s="3" t="s">
        <v>18</v>
      </c>
      <c r="B12" s="23">
        <f>+Összesítés!T14</f>
        <v>7231000</v>
      </c>
    </row>
    <row r="13" spans="1:2" x14ac:dyDescent="0.35">
      <c r="A13" s="3" t="s">
        <v>19</v>
      </c>
      <c r="B13" s="23">
        <f>+Összesítés!T15</f>
        <v>1523000</v>
      </c>
    </row>
    <row r="14" spans="1:2" ht="15" thickBot="1" x14ac:dyDescent="0.4">
      <c r="A14" s="5" t="s">
        <v>20</v>
      </c>
      <c r="B14" s="22">
        <f>+Összesítés!T16</f>
        <v>231120.33333333334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9" t="s">
        <v>6</v>
      </c>
      <c r="B19" s="50"/>
    </row>
    <row r="20" spans="1:6" x14ac:dyDescent="0.35">
      <c r="A20" s="3" t="s">
        <v>16</v>
      </c>
      <c r="B20" s="23">
        <f>+Összesítés!T22</f>
        <v>18</v>
      </c>
    </row>
    <row r="21" spans="1:6" ht="15" thickBot="1" x14ac:dyDescent="0.4">
      <c r="A21" s="5" t="s">
        <v>21</v>
      </c>
      <c r="B21" s="22">
        <f>+Összesítés!T23</f>
        <v>2865666.6666666665</v>
      </c>
    </row>
  </sheetData>
  <mergeCells count="1">
    <mergeCell ref="A19:B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workbookViewId="0">
      <selection activeCell="B6" sqref="B6"/>
    </sheetView>
  </sheetViews>
  <sheetFormatPr defaultRowHeight="14.5" x14ac:dyDescent="0.35"/>
  <cols>
    <col min="1" max="1" width="39.453125" customWidth="1"/>
    <col min="2" max="2" width="18" customWidth="1"/>
  </cols>
  <sheetData>
    <row r="1" spans="1:2" x14ac:dyDescent="0.35">
      <c r="A1" s="9" t="s">
        <v>30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Összesítés!S6</f>
        <v>65</v>
      </c>
    </row>
    <row r="6" spans="1:2" ht="15" thickBot="1" x14ac:dyDescent="0.4">
      <c r="A6" s="5" t="s">
        <v>17</v>
      </c>
      <c r="B6" s="22">
        <f>+Összesítés!S7</f>
        <v>66783357.666666664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+Összesítés!S13</f>
        <v>10</v>
      </c>
    </row>
    <row r="12" spans="1:2" x14ac:dyDescent="0.35">
      <c r="A12" s="3" t="s">
        <v>18</v>
      </c>
      <c r="B12" s="23">
        <f>+Összesítés!S14</f>
        <v>7965000</v>
      </c>
    </row>
    <row r="13" spans="1:2" x14ac:dyDescent="0.35">
      <c r="A13" s="3" t="s">
        <v>19</v>
      </c>
      <c r="B13" s="23">
        <f>+Összesítés!S15</f>
        <v>1543000</v>
      </c>
    </row>
    <row r="14" spans="1:2" ht="15" thickBot="1" x14ac:dyDescent="0.4">
      <c r="A14" s="5" t="s">
        <v>20</v>
      </c>
      <c r="B14" s="22">
        <f>+Összesítés!S16</f>
        <v>535543.33333333337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+Összesítés!S22</f>
        <v>20</v>
      </c>
    </row>
    <row r="21" spans="1:6" ht="15" thickBot="1" x14ac:dyDescent="0.4">
      <c r="A21" s="5" t="s">
        <v>21</v>
      </c>
      <c r="B21" s="22">
        <f>+Összesítés!S23</f>
        <v>4223666.666666667</v>
      </c>
    </row>
  </sheetData>
  <mergeCells count="1"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workbookViewId="0">
      <selection activeCell="B6" sqref="B6"/>
    </sheetView>
  </sheetViews>
  <sheetFormatPr defaultRowHeight="14.5" x14ac:dyDescent="0.35"/>
  <cols>
    <col min="1" max="1" width="39.453125" customWidth="1"/>
    <col min="2" max="2" width="18" customWidth="1"/>
  </cols>
  <sheetData>
    <row r="1" spans="1:2" x14ac:dyDescent="0.35">
      <c r="A1" s="9" t="s">
        <v>36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Összesítés!R6</f>
        <v>62</v>
      </c>
    </row>
    <row r="6" spans="1:2" ht="15" thickBot="1" x14ac:dyDescent="0.4">
      <c r="A6" s="5" t="s">
        <v>17</v>
      </c>
      <c r="B6" s="22">
        <f>+Összesítés!R7</f>
        <v>65228649.333333336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+Összesítés!R13</f>
        <v>9</v>
      </c>
    </row>
    <row r="12" spans="1:2" x14ac:dyDescent="0.35">
      <c r="A12" s="3" t="s">
        <v>18</v>
      </c>
      <c r="B12" s="23">
        <f>+Összesítés!R14</f>
        <v>7897500</v>
      </c>
    </row>
    <row r="13" spans="1:2" x14ac:dyDescent="0.35">
      <c r="A13" s="3" t="s">
        <v>19</v>
      </c>
      <c r="B13" s="23">
        <f>+Összesítés!R15</f>
        <v>1463449.3333333333</v>
      </c>
    </row>
    <row r="14" spans="1:2" ht="15" thickBot="1" x14ac:dyDescent="0.4">
      <c r="A14" s="5" t="s">
        <v>20</v>
      </c>
      <c r="B14" s="22">
        <f>+Összesítés!R16</f>
        <v>250297.33333333334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+Összesítés!R22</f>
        <v>13</v>
      </c>
    </row>
    <row r="21" spans="1:6" ht="15" thickBot="1" x14ac:dyDescent="0.4">
      <c r="A21" s="5" t="s">
        <v>21</v>
      </c>
      <c r="B21" s="22">
        <f>+Összesítés!R23</f>
        <v>1802866.6666666667</v>
      </c>
    </row>
  </sheetData>
  <mergeCells count="1"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4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35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Összesítés!Q6</f>
        <v>60</v>
      </c>
    </row>
    <row r="6" spans="1:2" ht="15" thickBot="1" x14ac:dyDescent="0.4">
      <c r="A6" s="5" t="s">
        <v>17</v>
      </c>
      <c r="B6" s="22">
        <f>+Összesítés!Q7</f>
        <v>75305959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+Összesítés!Q13</f>
        <v>8</v>
      </c>
    </row>
    <row r="12" spans="1:2" x14ac:dyDescent="0.35">
      <c r="A12" s="3" t="s">
        <v>18</v>
      </c>
      <c r="B12" s="23">
        <f>+Összesítés!Q14</f>
        <v>8041666.666666667</v>
      </c>
    </row>
    <row r="13" spans="1:2" x14ac:dyDescent="0.35">
      <c r="A13" s="3" t="s">
        <v>19</v>
      </c>
      <c r="B13" s="23">
        <f>+Összesítés!Q15</f>
        <v>1435786.3333333333</v>
      </c>
    </row>
    <row r="14" spans="1:2" ht="15" thickBot="1" x14ac:dyDescent="0.4">
      <c r="A14" s="5" t="s">
        <v>20</v>
      </c>
      <c r="B14" s="22">
        <f>+Összesítés!Q16</f>
        <v>82766.666666666672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+Összesítés!Q22</f>
        <v>33</v>
      </c>
    </row>
    <row r="21" spans="1:6" ht="15" thickBot="1" x14ac:dyDescent="0.4">
      <c r="A21" s="5" t="s">
        <v>21</v>
      </c>
      <c r="B21" s="22">
        <f>+Összesítés!Q23</f>
        <v>3972533.3333333335</v>
      </c>
    </row>
  </sheetData>
  <mergeCells count="1"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66F5-060D-4576-BCBF-27ACB70D2873}">
  <dimension ref="A1:F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40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Összesítés!P6</f>
        <v>64</v>
      </c>
    </row>
    <row r="6" spans="1:2" ht="15" thickBot="1" x14ac:dyDescent="0.4">
      <c r="A6" s="5" t="s">
        <v>17</v>
      </c>
      <c r="B6" s="22">
        <f>+Összesítés!P7</f>
        <v>92794469.333333328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+Összesítés!P13</f>
        <v>8</v>
      </c>
    </row>
    <row r="12" spans="1:2" x14ac:dyDescent="0.35">
      <c r="A12" s="3" t="s">
        <v>18</v>
      </c>
      <c r="B12" s="23">
        <f>+Összesítés!P14</f>
        <v>9500162.333333334</v>
      </c>
    </row>
    <row r="13" spans="1:2" x14ac:dyDescent="0.35">
      <c r="A13" s="3" t="s">
        <v>19</v>
      </c>
      <c r="B13" s="23">
        <f>+Összesítés!P15</f>
        <v>2887084</v>
      </c>
    </row>
    <row r="14" spans="1:2" ht="15" thickBot="1" x14ac:dyDescent="0.4">
      <c r="A14" s="5" t="s">
        <v>20</v>
      </c>
      <c r="B14" s="22">
        <f>+Összesítés!P16</f>
        <v>68178.666666666672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+Összesítés!P22</f>
        <v>35</v>
      </c>
    </row>
    <row r="21" spans="1:6" ht="15" thickBot="1" x14ac:dyDescent="0.4">
      <c r="A21" s="5" t="s">
        <v>21</v>
      </c>
      <c r="B21" s="22">
        <f>+Összesítés!P23</f>
        <v>3026000</v>
      </c>
    </row>
  </sheetData>
  <mergeCells count="1">
    <mergeCell ref="A19:B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0FC2-B641-4252-9E81-2DEA9F354264}">
  <dimension ref="A1:F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42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Összesítés!O6</f>
        <v>65</v>
      </c>
    </row>
    <row r="6" spans="1:2" ht="15" thickBot="1" x14ac:dyDescent="0.4">
      <c r="A6" s="5" t="s">
        <v>17</v>
      </c>
      <c r="B6" s="22">
        <f>+Összesítés!O7</f>
        <v>82556295.333333328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+Összesítés!O13</f>
        <v>8</v>
      </c>
    </row>
    <row r="12" spans="1:2" x14ac:dyDescent="0.35">
      <c r="A12" s="3" t="s">
        <v>18</v>
      </c>
      <c r="B12" s="23">
        <f>+Összesítés!O14</f>
        <v>8626093.666666666</v>
      </c>
    </row>
    <row r="13" spans="1:2" x14ac:dyDescent="0.35">
      <c r="A13" s="3" t="s">
        <v>19</v>
      </c>
      <c r="B13" s="23">
        <f>+Összesítés!O15</f>
        <v>1216326.6666666667</v>
      </c>
    </row>
    <row r="14" spans="1:2" ht="15" thickBot="1" x14ac:dyDescent="0.4">
      <c r="A14" s="5" t="s">
        <v>20</v>
      </c>
      <c r="B14" s="22">
        <f>+Összesítés!O16</f>
        <v>74566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+Összesítés!O22</f>
        <v>28</v>
      </c>
    </row>
    <row r="21" spans="1:6" ht="15" thickBot="1" x14ac:dyDescent="0.4">
      <c r="A21" s="5" t="s">
        <v>21</v>
      </c>
      <c r="B21" s="22">
        <f>+Összesítés!O23</f>
        <v>3912182.6666666665</v>
      </c>
    </row>
  </sheetData>
  <mergeCells count="1">
    <mergeCell ref="A19:B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B20F-6A60-4711-879C-254CD3CB7036}">
  <dimension ref="A1:F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44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Összesítés!N6</f>
        <v>67</v>
      </c>
    </row>
    <row r="6" spans="1:2" ht="15" thickBot="1" x14ac:dyDescent="0.4">
      <c r="A6" s="5" t="s">
        <v>17</v>
      </c>
      <c r="B6" s="22">
        <f>+Összesítés!N7</f>
        <v>96060519.666666672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+Összesítés!N13</f>
        <v>8</v>
      </c>
    </row>
    <row r="12" spans="1:2" x14ac:dyDescent="0.35">
      <c r="A12" s="3" t="s">
        <v>18</v>
      </c>
      <c r="B12" s="23">
        <f>+Összesítés!N14</f>
        <v>9496333.333333334</v>
      </c>
    </row>
    <row r="13" spans="1:2" x14ac:dyDescent="0.35">
      <c r="A13" s="3" t="s">
        <v>19</v>
      </c>
      <c r="B13" s="23">
        <f>+Összesítés!N15</f>
        <v>1610725.6666666667</v>
      </c>
    </row>
    <row r="14" spans="1:2" ht="15" thickBot="1" x14ac:dyDescent="0.4">
      <c r="A14" s="5" t="s">
        <v>20</v>
      </c>
      <c r="B14" s="22">
        <f>+Összesítés!N16</f>
        <v>81254.666666666672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+Összesítés!N22</f>
        <v>37</v>
      </c>
    </row>
    <row r="21" spans="1:6" ht="15" thickBot="1" x14ac:dyDescent="0.4">
      <c r="A21" s="5" t="s">
        <v>21</v>
      </c>
      <c r="B21" s="22">
        <f>+Összesítés!N23</f>
        <v>4656833.333333333</v>
      </c>
    </row>
  </sheetData>
  <mergeCells count="1">
    <mergeCell ref="A19:B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12FB-22E5-457F-94C9-3881E32BAC30}">
  <dimension ref="A1:F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46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Összesítés!M6</f>
        <v>67</v>
      </c>
    </row>
    <row r="6" spans="1:2" ht="15" thickBot="1" x14ac:dyDescent="0.4">
      <c r="A6" s="5" t="s">
        <v>17</v>
      </c>
      <c r="B6" s="22">
        <f>Összesítés!M7</f>
        <v>103854717.66666667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Összesítés!M13</f>
        <v>8</v>
      </c>
    </row>
    <row r="12" spans="1:2" x14ac:dyDescent="0.35">
      <c r="A12" s="3" t="s">
        <v>18</v>
      </c>
      <c r="B12" s="23">
        <f>Összesítés!M14</f>
        <v>10159712</v>
      </c>
    </row>
    <row r="13" spans="1:2" x14ac:dyDescent="0.35">
      <c r="A13" s="3" t="s">
        <v>19</v>
      </c>
      <c r="B13" s="23">
        <f>Összesítés!M15</f>
        <v>1059083.6666666667</v>
      </c>
    </row>
    <row r="14" spans="1:2" ht="15" thickBot="1" x14ac:dyDescent="0.4">
      <c r="A14" s="5" t="s">
        <v>20</v>
      </c>
      <c r="B14" s="22">
        <f>Összesítés!M16</f>
        <v>27925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Összesítés!M22</f>
        <v>37</v>
      </c>
    </row>
    <row r="21" spans="1:6" ht="15" thickBot="1" x14ac:dyDescent="0.4">
      <c r="A21" s="5" t="s">
        <v>21</v>
      </c>
      <c r="B21" s="22">
        <f>Összesítés!M23</f>
        <v>7221733.333333333</v>
      </c>
    </row>
  </sheetData>
  <mergeCells count="1">
    <mergeCell ref="A19:B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EEBC-9803-4482-8B50-09E0231499D0}">
  <dimension ref="A1:F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47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Összesítés!L6</f>
        <v>69</v>
      </c>
    </row>
    <row r="6" spans="1:2" ht="15" thickBot="1" x14ac:dyDescent="0.4">
      <c r="A6" s="5" t="s">
        <v>17</v>
      </c>
      <c r="B6" s="22">
        <f>Összesítés!L7</f>
        <v>101647444.33333333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Összesítés!L13</f>
        <v>7</v>
      </c>
    </row>
    <row r="12" spans="1:2" x14ac:dyDescent="0.35">
      <c r="A12" s="3" t="s">
        <v>18</v>
      </c>
      <c r="B12" s="23">
        <f>Összesítés!L14</f>
        <v>9980015</v>
      </c>
    </row>
    <row r="13" spans="1:2" x14ac:dyDescent="0.35">
      <c r="A13" s="3" t="s">
        <v>19</v>
      </c>
      <c r="B13" s="23">
        <f>Összesítés!L15</f>
        <v>602193</v>
      </c>
    </row>
    <row r="14" spans="1:2" ht="15" thickBot="1" x14ac:dyDescent="0.4">
      <c r="A14" s="5" t="s">
        <v>20</v>
      </c>
      <c r="B14" s="22">
        <f>Összesítés!L16</f>
        <v>7040</v>
      </c>
    </row>
    <row r="15" spans="1:2" x14ac:dyDescent="0.35">
      <c r="B15" s="1"/>
    </row>
    <row r="16" spans="1:2" x14ac:dyDescent="0.35">
      <c r="B16" s="1"/>
    </row>
    <row r="17" spans="1:6" x14ac:dyDescent="0.35">
      <c r="A17" s="9" t="s">
        <v>7</v>
      </c>
      <c r="B17" s="13"/>
      <c r="C17" s="9"/>
      <c r="D17" s="9"/>
      <c r="E17" s="9"/>
      <c r="F17" s="9"/>
    </row>
    <row r="18" spans="1:6" ht="15" thickBot="1" x14ac:dyDescent="0.4">
      <c r="B18" s="10"/>
    </row>
    <row r="19" spans="1:6" x14ac:dyDescent="0.35">
      <c r="A19" s="45" t="s">
        <v>6</v>
      </c>
      <c r="B19" s="46"/>
    </row>
    <row r="20" spans="1:6" x14ac:dyDescent="0.35">
      <c r="A20" s="3" t="s">
        <v>16</v>
      </c>
      <c r="B20" s="23">
        <f>Összesítés!L22</f>
        <v>34</v>
      </c>
    </row>
    <row r="21" spans="1:6" ht="15" thickBot="1" x14ac:dyDescent="0.4">
      <c r="A21" s="5" t="s">
        <v>21</v>
      </c>
      <c r="B21" s="22">
        <f>Összesítés!L23</f>
        <v>7579450</v>
      </c>
    </row>
  </sheetData>
  <mergeCells count="1">
    <mergeCell ref="A19:B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A54-715D-4E1F-A071-301514F958DD}">
  <dimension ref="A1:D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50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Összesítés!K6</f>
        <v>69</v>
      </c>
    </row>
    <row r="6" spans="1:2" ht="15" thickBot="1" x14ac:dyDescent="0.4">
      <c r="A6" s="5" t="s">
        <v>17</v>
      </c>
      <c r="B6" s="22">
        <f>Összesítés!K7</f>
        <v>105830301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Összesítés!K13</f>
        <v>7</v>
      </c>
    </row>
    <row r="12" spans="1:2" x14ac:dyDescent="0.35">
      <c r="A12" s="3" t="s">
        <v>18</v>
      </c>
      <c r="B12" s="23">
        <f>Összesítés!K14</f>
        <v>9987500</v>
      </c>
    </row>
    <row r="13" spans="1:2" x14ac:dyDescent="0.35">
      <c r="A13" s="3" t="s">
        <v>19</v>
      </c>
      <c r="B13" s="23">
        <f>Összesítés!K15</f>
        <v>501819</v>
      </c>
    </row>
    <row r="14" spans="1:2" ht="15" thickBot="1" x14ac:dyDescent="0.4">
      <c r="A14" s="5" t="s">
        <v>20</v>
      </c>
      <c r="B14" s="22">
        <f>Összesítés!K16</f>
        <v>8360</v>
      </c>
    </row>
    <row r="15" spans="1:2" x14ac:dyDescent="0.35">
      <c r="B15" s="1"/>
    </row>
    <row r="16" spans="1:2" x14ac:dyDescent="0.35">
      <c r="B16" s="1"/>
    </row>
    <row r="17" spans="1:4" x14ac:dyDescent="0.35">
      <c r="A17" s="9" t="s">
        <v>7</v>
      </c>
      <c r="B17" s="13"/>
      <c r="C17" s="9"/>
      <c r="D17" s="9"/>
    </row>
    <row r="18" spans="1:4" ht="15" thickBot="1" x14ac:dyDescent="0.4">
      <c r="B18" s="10"/>
    </row>
    <row r="19" spans="1:4" x14ac:dyDescent="0.35">
      <c r="A19" s="45" t="s">
        <v>6</v>
      </c>
      <c r="B19" s="46"/>
    </row>
    <row r="20" spans="1:4" x14ac:dyDescent="0.35">
      <c r="A20" s="3" t="s">
        <v>16</v>
      </c>
      <c r="B20" s="23">
        <f>Összesítés!K22</f>
        <v>29</v>
      </c>
    </row>
    <row r="21" spans="1:4" ht="15" thickBot="1" x14ac:dyDescent="0.4">
      <c r="A21" s="5" t="s">
        <v>21</v>
      </c>
      <c r="B21" s="22">
        <f>Összesítés!K23</f>
        <v>5903633.333333333</v>
      </c>
    </row>
  </sheetData>
  <mergeCells count="1">
    <mergeCell ref="A19:B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89EA-C31A-49F3-8894-64C2A050CD44}">
  <dimension ref="A1:B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52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Összesítés!J6</f>
        <v>71</v>
      </c>
    </row>
    <row r="6" spans="1:2" ht="15" thickBot="1" x14ac:dyDescent="0.4">
      <c r="A6" s="5" t="s">
        <v>17</v>
      </c>
      <c r="B6" s="22">
        <f>Összesítés!J7</f>
        <v>106916191.66666667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Összesítés!J13</f>
        <v>7</v>
      </c>
    </row>
    <row r="12" spans="1:2" x14ac:dyDescent="0.35">
      <c r="A12" s="3" t="s">
        <v>18</v>
      </c>
      <c r="B12" s="23">
        <f>Összesítés!J14</f>
        <v>11312501</v>
      </c>
    </row>
    <row r="13" spans="1:2" x14ac:dyDescent="0.35">
      <c r="A13" s="3" t="s">
        <v>19</v>
      </c>
      <c r="B13" s="23">
        <f>Összesítés!J15</f>
        <v>264900.33333333331</v>
      </c>
    </row>
    <row r="14" spans="1:2" ht="15" thickBot="1" x14ac:dyDescent="0.4">
      <c r="A14" s="5" t="s">
        <v>20</v>
      </c>
      <c r="B14" s="22">
        <f>Összesítés!J16</f>
        <v>30480</v>
      </c>
    </row>
    <row r="15" spans="1:2" x14ac:dyDescent="0.35">
      <c r="B15" s="1"/>
    </row>
    <row r="16" spans="1:2" x14ac:dyDescent="0.35">
      <c r="B16" s="1"/>
    </row>
    <row r="17" spans="1:2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23">
        <f>Összesítés!J22</f>
        <v>38</v>
      </c>
    </row>
    <row r="21" spans="1:2" ht="15" thickBot="1" x14ac:dyDescent="0.4">
      <c r="A21" s="5" t="s">
        <v>21</v>
      </c>
      <c r="B21" s="22">
        <f>Összesítés!J23</f>
        <v>6343066.666666667</v>
      </c>
    </row>
  </sheetData>
  <mergeCells count="1">
    <mergeCell ref="A19:B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E17B-5443-43AD-983E-EABC34BF5FC0}">
  <dimension ref="A1:B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53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Összesítés!I6</f>
        <v>71</v>
      </c>
    </row>
    <row r="6" spans="1:2" ht="15" thickBot="1" x14ac:dyDescent="0.4">
      <c r="A6" s="5" t="s">
        <v>17</v>
      </c>
      <c r="B6" s="22">
        <f>Összesítés!I7</f>
        <v>113890974.33333333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Összesítés!I13</f>
        <v>7</v>
      </c>
    </row>
    <row r="12" spans="1:2" x14ac:dyDescent="0.35">
      <c r="A12" s="3" t="s">
        <v>18</v>
      </c>
      <c r="B12" s="23">
        <f>Összesítés!I14</f>
        <v>11413890.333333334</v>
      </c>
    </row>
    <row r="13" spans="1:2" x14ac:dyDescent="0.35">
      <c r="A13" s="3" t="s">
        <v>19</v>
      </c>
      <c r="B13" s="23">
        <f>Összesítés!I15</f>
        <v>175255.66666666666</v>
      </c>
    </row>
    <row r="14" spans="1:2" ht="15" thickBot="1" x14ac:dyDescent="0.4">
      <c r="A14" s="5" t="s">
        <v>20</v>
      </c>
      <c r="B14" s="22">
        <f>Összesítés!I16</f>
        <v>30272.666666666668</v>
      </c>
    </row>
    <row r="15" spans="1:2" x14ac:dyDescent="0.35">
      <c r="B15" s="1"/>
    </row>
    <row r="16" spans="1:2" x14ac:dyDescent="0.35">
      <c r="B16" s="1"/>
    </row>
    <row r="17" spans="1:2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23">
        <f>Összesítés!I22</f>
        <v>32</v>
      </c>
    </row>
    <row r="21" spans="1:2" ht="15" thickBot="1" x14ac:dyDescent="0.4">
      <c r="A21" s="5" t="s">
        <v>21</v>
      </c>
      <c r="B21" s="22">
        <f>Összesítés!I23</f>
        <v>9861800</v>
      </c>
    </row>
  </sheetData>
  <mergeCells count="1">
    <mergeCell ref="A19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2901-6541-4E5F-AC88-AF4280F7968B}">
  <dimension ref="A1:B21"/>
  <sheetViews>
    <sheetView zoomScale="80" zoomScaleNormal="8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54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Összesítés!H6</f>
        <v>74</v>
      </c>
    </row>
    <row r="6" spans="1:2" ht="15" thickBot="1" x14ac:dyDescent="0.4">
      <c r="A6" s="5" t="s">
        <v>17</v>
      </c>
      <c r="B6" s="22">
        <f>Összesítés!H7</f>
        <v>110703575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Összesítés!H13</f>
        <v>7</v>
      </c>
    </row>
    <row r="12" spans="1:2" x14ac:dyDescent="0.35">
      <c r="A12" s="3" t="s">
        <v>18</v>
      </c>
      <c r="B12" s="23">
        <f>Összesítés!H14</f>
        <v>11477373.333333334</v>
      </c>
    </row>
    <row r="13" spans="1:2" x14ac:dyDescent="0.35">
      <c r="A13" s="3" t="s">
        <v>19</v>
      </c>
      <c r="B13" s="23">
        <f>Összesítés!H15</f>
        <v>154074.33333333334</v>
      </c>
    </row>
    <row r="14" spans="1:2" ht="15" thickBot="1" x14ac:dyDescent="0.4">
      <c r="A14" s="5" t="s">
        <v>20</v>
      </c>
      <c r="B14" s="22">
        <f>Összesítés!H16</f>
        <v>20593.333333333332</v>
      </c>
    </row>
    <row r="15" spans="1:2" x14ac:dyDescent="0.35">
      <c r="B15" s="1"/>
    </row>
    <row r="16" spans="1:2" x14ac:dyDescent="0.35">
      <c r="B16" s="1"/>
    </row>
    <row r="17" spans="1:2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23">
        <f>Összesítés!H22</f>
        <v>40</v>
      </c>
    </row>
    <row r="21" spans="1:2" ht="15" thickBot="1" x14ac:dyDescent="0.4">
      <c r="A21" s="5" t="s">
        <v>21</v>
      </c>
      <c r="B21" s="22">
        <f>Összesítés!H23</f>
        <v>7552152.666666667</v>
      </c>
    </row>
  </sheetData>
  <mergeCells count="1">
    <mergeCell ref="A19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D105-81F4-4702-A79A-C0D2C8383885}">
  <dimension ref="A1:B21"/>
  <sheetViews>
    <sheetView zoomScale="90" zoomScaleNormal="90" workbookViewId="0">
      <selection activeCell="B6" sqref="B6"/>
    </sheetView>
  </sheetViews>
  <sheetFormatPr defaultRowHeight="14.5" x14ac:dyDescent="0.35"/>
  <cols>
    <col min="1" max="1" width="48.26953125" customWidth="1"/>
    <col min="2" max="2" width="24.81640625" customWidth="1"/>
  </cols>
  <sheetData>
    <row r="1" spans="1:2" x14ac:dyDescent="0.35">
      <c r="A1" s="9" t="s">
        <v>57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16</v>
      </c>
      <c r="B5" s="21">
        <f>Összesítés!G6</f>
        <v>72</v>
      </c>
    </row>
    <row r="6" spans="1:2" ht="15" thickBot="1" x14ac:dyDescent="0.4">
      <c r="A6" s="5" t="s">
        <v>17</v>
      </c>
      <c r="B6" s="22">
        <f>Összesítés!G7</f>
        <v>118308293.66666667</v>
      </c>
    </row>
    <row r="7" spans="1:2" x14ac:dyDescent="0.35">
      <c r="B7" s="1"/>
    </row>
    <row r="8" spans="1:2" x14ac:dyDescent="0.35">
      <c r="B8" s="10"/>
    </row>
    <row r="9" spans="1:2" x14ac:dyDescent="0.35">
      <c r="A9" s="9" t="s">
        <v>13</v>
      </c>
      <c r="B9" s="9"/>
    </row>
    <row r="10" spans="1:2" ht="15" thickBot="1" x14ac:dyDescent="0.4">
      <c r="A10" s="9"/>
      <c r="B10" s="9"/>
    </row>
    <row r="11" spans="1:2" x14ac:dyDescent="0.35">
      <c r="A11" s="11" t="s">
        <v>16</v>
      </c>
      <c r="B11" s="21">
        <f>Összesítés!G13</f>
        <v>7</v>
      </c>
    </row>
    <row r="12" spans="1:2" x14ac:dyDescent="0.35">
      <c r="A12" s="3" t="s">
        <v>18</v>
      </c>
      <c r="B12" s="23">
        <f>Összesítés!G14</f>
        <v>11266980.666666666</v>
      </c>
    </row>
    <row r="13" spans="1:2" x14ac:dyDescent="0.35">
      <c r="A13" s="3" t="s">
        <v>19</v>
      </c>
      <c r="B13" s="23">
        <f>Összesítés!G15</f>
        <v>217449.66666666666</v>
      </c>
    </row>
    <row r="14" spans="1:2" ht="15" thickBot="1" x14ac:dyDescent="0.4">
      <c r="A14" s="5" t="s">
        <v>20</v>
      </c>
      <c r="B14" s="22">
        <f>Összesítés!G16</f>
        <v>11905.333333333334</v>
      </c>
    </row>
    <row r="15" spans="1:2" x14ac:dyDescent="0.35">
      <c r="B15" s="1"/>
    </row>
    <row r="16" spans="1:2" x14ac:dyDescent="0.35">
      <c r="B16" s="1"/>
    </row>
    <row r="17" spans="1:2" x14ac:dyDescent="0.35">
      <c r="A17" s="9" t="s">
        <v>7</v>
      </c>
      <c r="B17" s="13"/>
    </row>
    <row r="18" spans="1:2" ht="15" thickBot="1" x14ac:dyDescent="0.4">
      <c r="B18" s="10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23">
        <f>Összesítés!G22</f>
        <v>37</v>
      </c>
    </row>
    <row r="21" spans="1:2" ht="15" thickBot="1" x14ac:dyDescent="0.4">
      <c r="A21" s="5" t="s">
        <v>21</v>
      </c>
      <c r="B21" s="22">
        <f>Összesítés!G23</f>
        <v>6461102.666666667</v>
      </c>
    </row>
  </sheetData>
  <mergeCells count="1">
    <mergeCell ref="A19:B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AF31-B339-42FC-A47E-55FFDF3AA580}">
  <dimension ref="A1:B28"/>
  <sheetViews>
    <sheetView view="pageBreakPreview" zoomScale="80" zoomScaleNormal="90" zoomScaleSheetLayoutView="80" workbookViewId="0">
      <selection activeCell="A15" sqref="A15"/>
    </sheetView>
  </sheetViews>
  <sheetFormatPr defaultRowHeight="14.5" x14ac:dyDescent="0.35"/>
  <cols>
    <col min="1" max="1" width="66.1796875" customWidth="1"/>
    <col min="2" max="2" width="24.81640625" style="32" customWidth="1"/>
  </cols>
  <sheetData>
    <row r="1" spans="1:2" x14ac:dyDescent="0.35">
      <c r="A1" s="9" t="s">
        <v>59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67</v>
      </c>
      <c r="B5" s="37">
        <f>Összesítés!F6</f>
        <v>69</v>
      </c>
    </row>
    <row r="6" spans="1:2" ht="15" thickBot="1" x14ac:dyDescent="0.4">
      <c r="A6" s="5" t="s">
        <v>17</v>
      </c>
      <c r="B6" s="39">
        <f>Összesítés!F7</f>
        <v>109862764</v>
      </c>
    </row>
    <row r="7" spans="1:2" x14ac:dyDescent="0.35">
      <c r="B7" s="40"/>
    </row>
    <row r="8" spans="1:2" x14ac:dyDescent="0.35">
      <c r="B8" s="41"/>
    </row>
    <row r="9" spans="1:2" x14ac:dyDescent="0.35">
      <c r="A9" s="9" t="s">
        <v>13</v>
      </c>
      <c r="B9" s="31"/>
    </row>
    <row r="10" spans="1:2" ht="15" thickBot="1" x14ac:dyDescent="0.4">
      <c r="A10" s="9"/>
      <c r="B10" s="31"/>
    </row>
    <row r="11" spans="1:2" x14ac:dyDescent="0.35">
      <c r="A11" s="11" t="s">
        <v>16</v>
      </c>
      <c r="B11" s="37">
        <f>Összesítés!F13</f>
        <v>6</v>
      </c>
    </row>
    <row r="12" spans="1:2" x14ac:dyDescent="0.35">
      <c r="A12" s="3" t="s">
        <v>18</v>
      </c>
      <c r="B12" s="38">
        <f>Összesítés!F14</f>
        <v>10975564.666666666</v>
      </c>
    </row>
    <row r="13" spans="1:2" x14ac:dyDescent="0.35">
      <c r="A13" s="3" t="s">
        <v>19</v>
      </c>
      <c r="B13" s="38">
        <f>Összesítés!F15</f>
        <v>108905.33333333333</v>
      </c>
    </row>
    <row r="14" spans="1:2" ht="15" thickBot="1" x14ac:dyDescent="0.4">
      <c r="A14" s="5" t="s">
        <v>20</v>
      </c>
      <c r="B14" s="39">
        <f>Összesítés!F16</f>
        <v>8330.6666666666661</v>
      </c>
    </row>
    <row r="15" spans="1:2" x14ac:dyDescent="0.35">
      <c r="B15" s="40"/>
    </row>
    <row r="16" spans="1:2" x14ac:dyDescent="0.35">
      <c r="B16" s="40"/>
    </row>
    <row r="17" spans="1:2" x14ac:dyDescent="0.35">
      <c r="A17" s="9" t="s">
        <v>7</v>
      </c>
      <c r="B17" s="42"/>
    </row>
    <row r="18" spans="1:2" ht="15" thickBot="1" x14ac:dyDescent="0.4">
      <c r="B18" s="41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38">
        <f>Összesítés!F22</f>
        <v>41</v>
      </c>
    </row>
    <row r="21" spans="1:2" ht="15" thickBot="1" x14ac:dyDescent="0.4">
      <c r="A21" s="5" t="s">
        <v>21</v>
      </c>
      <c r="B21" s="39">
        <f>Összesítés!F23</f>
        <v>7343216.666666667</v>
      </c>
    </row>
    <row r="24" spans="1:2" x14ac:dyDescent="0.35">
      <c r="A24" s="31" t="s">
        <v>38</v>
      </c>
    </row>
    <row r="25" spans="1:2" ht="15" thickBot="1" x14ac:dyDescent="0.4"/>
    <row r="26" spans="1:2" x14ac:dyDescent="0.35">
      <c r="A26" s="45" t="s">
        <v>6</v>
      </c>
      <c r="B26" s="46"/>
    </row>
    <row r="27" spans="1:2" x14ac:dyDescent="0.35">
      <c r="A27" s="3" t="s">
        <v>16</v>
      </c>
      <c r="B27" s="38">
        <f>Összesítés!F29</f>
        <v>3</v>
      </c>
    </row>
    <row r="28" spans="1:2" ht="15" thickBot="1" x14ac:dyDescent="0.4">
      <c r="A28" s="5" t="s">
        <v>21</v>
      </c>
      <c r="B28" s="39">
        <f>Összesítés!F30</f>
        <v>120000</v>
      </c>
    </row>
  </sheetData>
  <mergeCells count="2">
    <mergeCell ref="A19:B19"/>
    <mergeCell ref="A26:B26"/>
  </mergeCells>
  <pageMargins left="0.7" right="0.7" top="0.75" bottom="0.75" header="0.3" footer="0.3"/>
  <pageSetup paperSize="9" scale="9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9E56-E48E-479C-A0C9-6C010C89378D}">
  <dimension ref="A1:B28"/>
  <sheetViews>
    <sheetView view="pageBreakPreview" zoomScale="90" zoomScaleNormal="80" zoomScaleSheetLayoutView="90" workbookViewId="0">
      <selection activeCell="A5" sqref="A5"/>
    </sheetView>
  </sheetViews>
  <sheetFormatPr defaultRowHeight="14.5" x14ac:dyDescent="0.35"/>
  <cols>
    <col min="1" max="1" width="65.54296875" customWidth="1"/>
    <col min="2" max="2" width="24.81640625" style="32" customWidth="1"/>
  </cols>
  <sheetData>
    <row r="1" spans="1:2" x14ac:dyDescent="0.35">
      <c r="A1" s="9" t="s">
        <v>62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67</v>
      </c>
      <c r="B5" s="37">
        <f>Összesítés!E6</f>
        <v>68</v>
      </c>
    </row>
    <row r="6" spans="1:2" ht="15" thickBot="1" x14ac:dyDescent="0.4">
      <c r="A6" s="5" t="s">
        <v>17</v>
      </c>
      <c r="B6" s="39">
        <f>Összesítés!E7</f>
        <v>116930506.33333333</v>
      </c>
    </row>
    <row r="7" spans="1:2" x14ac:dyDescent="0.35">
      <c r="B7" s="40"/>
    </row>
    <row r="8" spans="1:2" x14ac:dyDescent="0.35">
      <c r="B8" s="41"/>
    </row>
    <row r="9" spans="1:2" x14ac:dyDescent="0.35">
      <c r="A9" s="9" t="s">
        <v>13</v>
      </c>
      <c r="B9" s="31"/>
    </row>
    <row r="10" spans="1:2" ht="15" thickBot="1" x14ac:dyDescent="0.4">
      <c r="A10" s="9"/>
      <c r="B10" s="31"/>
    </row>
    <row r="11" spans="1:2" x14ac:dyDescent="0.35">
      <c r="A11" s="11" t="s">
        <v>16</v>
      </c>
      <c r="B11" s="37">
        <f>Összesítés!E13</f>
        <v>8</v>
      </c>
    </row>
    <row r="12" spans="1:2" x14ac:dyDescent="0.35">
      <c r="A12" s="3" t="s">
        <v>18</v>
      </c>
      <c r="B12" s="38">
        <f>Összesítés!E14</f>
        <v>12872932</v>
      </c>
    </row>
    <row r="13" spans="1:2" x14ac:dyDescent="0.35">
      <c r="A13" s="3" t="s">
        <v>19</v>
      </c>
      <c r="B13" s="38">
        <f>Összesítés!E15</f>
        <v>205896.66666666666</v>
      </c>
    </row>
    <row r="14" spans="1:2" ht="15" thickBot="1" x14ac:dyDescent="0.4">
      <c r="A14" s="5" t="s">
        <v>20</v>
      </c>
      <c r="B14" s="39">
        <f>Összesítés!E16</f>
        <v>176881.33333333334</v>
      </c>
    </row>
    <row r="15" spans="1:2" x14ac:dyDescent="0.35">
      <c r="B15" s="40"/>
    </row>
    <row r="16" spans="1:2" x14ac:dyDescent="0.35">
      <c r="B16" s="40"/>
    </row>
    <row r="17" spans="1:2" x14ac:dyDescent="0.35">
      <c r="A17" s="9" t="s">
        <v>7</v>
      </c>
      <c r="B17" s="42"/>
    </row>
    <row r="18" spans="1:2" ht="15" thickBot="1" x14ac:dyDescent="0.4">
      <c r="B18" s="41"/>
    </row>
    <row r="19" spans="1:2" x14ac:dyDescent="0.35">
      <c r="A19" s="45" t="s">
        <v>6</v>
      </c>
      <c r="B19" s="46"/>
    </row>
    <row r="20" spans="1:2" x14ac:dyDescent="0.35">
      <c r="A20" s="3" t="s">
        <v>16</v>
      </c>
      <c r="B20" s="38">
        <f>Összesítés!E22</f>
        <v>43</v>
      </c>
    </row>
    <row r="21" spans="1:2" ht="15" thickBot="1" x14ac:dyDescent="0.4">
      <c r="A21" s="5" t="s">
        <v>21</v>
      </c>
      <c r="B21" s="39">
        <f>Összesítés!E23</f>
        <v>10832846.666666666</v>
      </c>
    </row>
    <row r="24" spans="1:2" x14ac:dyDescent="0.35">
      <c r="A24" s="31" t="s">
        <v>38</v>
      </c>
    </row>
    <row r="25" spans="1:2" ht="15" thickBot="1" x14ac:dyDescent="0.4"/>
    <row r="26" spans="1:2" x14ac:dyDescent="0.35">
      <c r="A26" s="45" t="s">
        <v>6</v>
      </c>
      <c r="B26" s="46"/>
    </row>
    <row r="27" spans="1:2" x14ac:dyDescent="0.35">
      <c r="A27" s="3" t="s">
        <v>16</v>
      </c>
      <c r="B27" s="38">
        <f>Összesítés!E29</f>
        <v>3</v>
      </c>
    </row>
    <row r="28" spans="1:2" ht="15" thickBot="1" x14ac:dyDescent="0.4">
      <c r="A28" s="5" t="s">
        <v>21</v>
      </c>
      <c r="B28" s="39">
        <f>Összesítés!E30</f>
        <v>120000</v>
      </c>
    </row>
  </sheetData>
  <mergeCells count="2">
    <mergeCell ref="A19:B19"/>
    <mergeCell ref="A26:B26"/>
  </mergeCells>
  <pageMargins left="0.7" right="0.7" top="0.75" bottom="0.75" header="0.3" footer="0.3"/>
  <pageSetup paperSize="9" scale="9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DC28-6BE7-400A-8EB9-9BD31BF0D911}">
  <dimension ref="A1:B28"/>
  <sheetViews>
    <sheetView view="pageBreakPreview" zoomScale="80" zoomScaleNormal="80" zoomScaleSheetLayoutView="80" workbookViewId="0">
      <selection activeCell="A5" sqref="A5"/>
    </sheetView>
  </sheetViews>
  <sheetFormatPr defaultRowHeight="14.5" x14ac:dyDescent="0.35"/>
  <cols>
    <col min="1" max="1" width="64.54296875" customWidth="1"/>
    <col min="2" max="2" width="26" style="32" customWidth="1"/>
  </cols>
  <sheetData>
    <row r="1" spans="1:2" x14ac:dyDescent="0.35">
      <c r="A1" s="9" t="s">
        <v>63</v>
      </c>
    </row>
    <row r="3" spans="1:2" x14ac:dyDescent="0.35">
      <c r="A3" s="9" t="s">
        <v>0</v>
      </c>
    </row>
    <row r="4" spans="1:2" ht="15" thickBot="1" x14ac:dyDescent="0.4">
      <c r="A4" s="9"/>
    </row>
    <row r="5" spans="1:2" x14ac:dyDescent="0.35">
      <c r="A5" s="11" t="s">
        <v>67</v>
      </c>
      <c r="B5" s="37">
        <f>Összesítés!D6</f>
        <v>69</v>
      </c>
    </row>
    <row r="6" spans="1:2" ht="15" thickBot="1" x14ac:dyDescent="0.4">
      <c r="A6" s="5" t="s">
        <v>17</v>
      </c>
      <c r="B6" s="39">
        <f>Összesítés!D7</f>
        <v>122770138.33333333</v>
      </c>
    </row>
    <row r="7" spans="1:2" x14ac:dyDescent="0.35">
      <c r="B7" s="40"/>
    </row>
    <row r="8" spans="1:2" x14ac:dyDescent="0.35">
      <c r="B8" s="41"/>
    </row>
    <row r="9" spans="1:2" x14ac:dyDescent="0.35">
      <c r="A9" s="9" t="s">
        <v>13</v>
      </c>
      <c r="B9" s="31"/>
    </row>
    <row r="10" spans="1:2" ht="15" thickBot="1" x14ac:dyDescent="0.4">
      <c r="A10" s="9"/>
      <c r="B10" s="31"/>
    </row>
    <row r="11" spans="1:2" x14ac:dyDescent="0.35">
      <c r="A11" s="11" t="s">
        <v>16</v>
      </c>
      <c r="B11" s="37">
        <f>Összesítés!D13</f>
        <v>8</v>
      </c>
    </row>
    <row r="12" spans="1:2" x14ac:dyDescent="0.35">
      <c r="A12" s="3" t="s">
        <v>18</v>
      </c>
      <c r="B12" s="38">
        <f>Összesítés!D14</f>
        <v>14055626.333333334</v>
      </c>
    </row>
    <row r="13" spans="1:2" x14ac:dyDescent="0.35">
      <c r="A13" s="3" t="s">
        <v>19</v>
      </c>
      <c r="B13" s="38">
        <f>Összesítés!D15</f>
        <v>456900</v>
      </c>
    </row>
    <row r="14" spans="1:2" ht="15" thickBot="1" x14ac:dyDescent="0.4">
      <c r="A14" s="5" t="s">
        <v>20</v>
      </c>
      <c r="B14" s="39">
        <f>Összesítés!D16</f>
        <v>159555.66666666666</v>
      </c>
    </row>
    <row r="15" spans="1:2" x14ac:dyDescent="0.35">
      <c r="B15" s="40"/>
    </row>
    <row r="16" spans="1:2" x14ac:dyDescent="0.35">
      <c r="B16" s="40"/>
    </row>
    <row r="17" spans="1:2" x14ac:dyDescent="0.35">
      <c r="A17" s="9" t="s">
        <v>7</v>
      </c>
      <c r="B17" s="42"/>
    </row>
    <row r="18" spans="1:2" ht="15" thickBot="1" x14ac:dyDescent="0.4">
      <c r="B18" s="41"/>
    </row>
    <row r="19" spans="1:2" x14ac:dyDescent="0.35">
      <c r="A19" s="47" t="s">
        <v>6</v>
      </c>
      <c r="B19" s="48"/>
    </row>
    <row r="20" spans="1:2" x14ac:dyDescent="0.35">
      <c r="A20" s="3" t="s">
        <v>16</v>
      </c>
      <c r="B20" s="38">
        <f>Összesítés!D22</f>
        <v>41</v>
      </c>
    </row>
    <row r="21" spans="1:2" ht="15" thickBot="1" x14ac:dyDescent="0.4">
      <c r="A21" s="5" t="s">
        <v>21</v>
      </c>
      <c r="B21" s="39">
        <f>Összesítés!D23</f>
        <v>10517258.333333334</v>
      </c>
    </row>
    <row r="24" spans="1:2" x14ac:dyDescent="0.35">
      <c r="A24" s="31" t="s">
        <v>38</v>
      </c>
    </row>
    <row r="25" spans="1:2" ht="15" thickBot="1" x14ac:dyDescent="0.4"/>
    <row r="26" spans="1:2" x14ac:dyDescent="0.35">
      <c r="A26" s="47" t="s">
        <v>6</v>
      </c>
      <c r="B26" s="48"/>
    </row>
    <row r="27" spans="1:2" x14ac:dyDescent="0.35">
      <c r="A27" s="3" t="s">
        <v>16</v>
      </c>
      <c r="B27" s="38">
        <f>Összesítés!D29</f>
        <v>3</v>
      </c>
    </row>
    <row r="28" spans="1:2" ht="15" thickBot="1" x14ac:dyDescent="0.4">
      <c r="A28" s="5" t="s">
        <v>21</v>
      </c>
      <c r="B28" s="39">
        <f>Összesítés!D30</f>
        <v>120000</v>
      </c>
    </row>
  </sheetData>
  <mergeCells count="2">
    <mergeCell ref="A19:B19"/>
    <mergeCell ref="A26:B26"/>
  </mergeCells>
  <pageMargins left="0.7" right="0.7" top="0.75" bottom="0.75" header="0.3" footer="0.3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D2AD-8A7D-4F50-957E-FB32B887FFC1}">
  <dimension ref="A1:B28"/>
  <sheetViews>
    <sheetView view="pageBreakPreview" zoomScale="80" zoomScaleNormal="100" zoomScaleSheetLayoutView="80" workbookViewId="0">
      <selection sqref="A1:B1048576"/>
    </sheetView>
  </sheetViews>
  <sheetFormatPr defaultRowHeight="14.5" x14ac:dyDescent="0.35"/>
  <cols>
    <col min="1" max="1" width="65.81640625" customWidth="1"/>
    <col min="2" max="2" width="28.26953125" style="32" customWidth="1"/>
  </cols>
  <sheetData>
    <row r="1" spans="1:2" x14ac:dyDescent="0.35">
      <c r="A1" s="9" t="s">
        <v>64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67</v>
      </c>
      <c r="B5" s="37">
        <f>Összesítés!C6</f>
        <v>70</v>
      </c>
    </row>
    <row r="6" spans="1:2" ht="15" thickBot="1" x14ac:dyDescent="0.4">
      <c r="A6" s="5" t="s">
        <v>17</v>
      </c>
      <c r="B6" s="39">
        <f>Összesítés!C7</f>
        <v>130544105.33333333</v>
      </c>
    </row>
    <row r="7" spans="1:2" x14ac:dyDescent="0.35">
      <c r="B7" s="40"/>
    </row>
    <row r="8" spans="1:2" x14ac:dyDescent="0.35">
      <c r="B8" s="41"/>
    </row>
    <row r="9" spans="1:2" x14ac:dyDescent="0.35">
      <c r="A9" s="9" t="s">
        <v>13</v>
      </c>
      <c r="B9" s="31"/>
    </row>
    <row r="10" spans="1:2" ht="15" thickBot="1" x14ac:dyDescent="0.4">
      <c r="A10" s="9"/>
      <c r="B10" s="31"/>
    </row>
    <row r="11" spans="1:2" x14ac:dyDescent="0.35">
      <c r="A11" s="11" t="s">
        <v>16</v>
      </c>
      <c r="B11" s="37">
        <f>Összesítés!C13</f>
        <v>8</v>
      </c>
    </row>
    <row r="12" spans="1:2" x14ac:dyDescent="0.35">
      <c r="A12" s="3" t="s">
        <v>18</v>
      </c>
      <c r="B12" s="38">
        <f>Összesítés!C14</f>
        <v>14858365</v>
      </c>
    </row>
    <row r="13" spans="1:2" x14ac:dyDescent="0.35">
      <c r="A13" s="3" t="s">
        <v>19</v>
      </c>
      <c r="B13" s="38">
        <f>Összesítés!C15</f>
        <v>453733.33333333331</v>
      </c>
    </row>
    <row r="14" spans="1:2" ht="15" thickBot="1" x14ac:dyDescent="0.4">
      <c r="A14" s="5" t="s">
        <v>20</v>
      </c>
      <c r="B14" s="39">
        <f>Összesítés!C16</f>
        <v>214638.33333333334</v>
      </c>
    </row>
    <row r="15" spans="1:2" x14ac:dyDescent="0.35">
      <c r="B15" s="40"/>
    </row>
    <row r="16" spans="1:2" x14ac:dyDescent="0.35">
      <c r="B16" s="40"/>
    </row>
    <row r="17" spans="1:2" x14ac:dyDescent="0.35">
      <c r="A17" s="9" t="s">
        <v>7</v>
      </c>
      <c r="B17" s="42"/>
    </row>
    <row r="18" spans="1:2" ht="15" thickBot="1" x14ac:dyDescent="0.4">
      <c r="B18" s="41"/>
    </row>
    <row r="19" spans="1:2" x14ac:dyDescent="0.35">
      <c r="A19" s="47" t="s">
        <v>6</v>
      </c>
      <c r="B19" s="48"/>
    </row>
    <row r="20" spans="1:2" x14ac:dyDescent="0.35">
      <c r="A20" s="3" t="s">
        <v>16</v>
      </c>
      <c r="B20" s="38">
        <f>Összesítés!C22</f>
        <v>38</v>
      </c>
    </row>
    <row r="21" spans="1:2" ht="15" thickBot="1" x14ac:dyDescent="0.4">
      <c r="A21" s="5" t="s">
        <v>21</v>
      </c>
      <c r="B21" s="39">
        <f>Összesítés!C23</f>
        <v>9101487.333333334</v>
      </c>
    </row>
    <row r="24" spans="1:2" x14ac:dyDescent="0.35">
      <c r="A24" s="31" t="s">
        <v>38</v>
      </c>
    </row>
    <row r="25" spans="1:2" ht="15" thickBot="1" x14ac:dyDescent="0.4"/>
    <row r="26" spans="1:2" x14ac:dyDescent="0.35">
      <c r="A26" s="47" t="s">
        <v>6</v>
      </c>
      <c r="B26" s="48"/>
    </row>
    <row r="27" spans="1:2" x14ac:dyDescent="0.35">
      <c r="A27" s="3" t="s">
        <v>16</v>
      </c>
      <c r="B27" s="38">
        <f>Összesítés!E29</f>
        <v>3</v>
      </c>
    </row>
    <row r="28" spans="1:2" ht="15" thickBot="1" x14ac:dyDescent="0.4">
      <c r="A28" s="5" t="s">
        <v>21</v>
      </c>
      <c r="B28" s="39">
        <f>Összesítés!E30</f>
        <v>120000</v>
      </c>
    </row>
  </sheetData>
  <mergeCells count="2">
    <mergeCell ref="A19:B19"/>
    <mergeCell ref="A26:B26"/>
  </mergeCells>
  <pageMargins left="0.7" right="0.7" top="0.75" bottom="0.75" header="0.3" footer="0.3"/>
  <pageSetup paperSize="9"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61D5-01D2-4C4D-A0C9-24122143BA91}">
  <dimension ref="A1:B28"/>
  <sheetViews>
    <sheetView tabSelected="1" view="pageBreakPreview" zoomScale="80" zoomScaleNormal="70" zoomScaleSheetLayoutView="80" workbookViewId="0">
      <selection activeCell="I27" sqref="I27"/>
    </sheetView>
  </sheetViews>
  <sheetFormatPr defaultRowHeight="14.5" x14ac:dyDescent="0.35"/>
  <cols>
    <col min="1" max="1" width="59.6328125" customWidth="1"/>
    <col min="2" max="2" width="33.81640625" style="32" customWidth="1"/>
  </cols>
  <sheetData>
    <row r="1" spans="1:2" x14ac:dyDescent="0.35">
      <c r="A1" s="9" t="s">
        <v>68</v>
      </c>
    </row>
    <row r="3" spans="1:2" x14ac:dyDescent="0.35">
      <c r="A3" s="9" t="s">
        <v>0</v>
      </c>
    </row>
    <row r="4" spans="1:2" ht="15" thickBot="1" x14ac:dyDescent="0.4"/>
    <row r="5" spans="1:2" x14ac:dyDescent="0.35">
      <c r="A5" s="11" t="s">
        <v>67</v>
      </c>
      <c r="B5" s="37">
        <f>Összesítés!B6</f>
        <v>70</v>
      </c>
    </row>
    <row r="6" spans="1:2" ht="15" thickBot="1" x14ac:dyDescent="0.4">
      <c r="A6" s="5" t="s">
        <v>17</v>
      </c>
      <c r="B6" s="39">
        <f>Összesítés!B7</f>
        <v>122523112.33333333</v>
      </c>
    </row>
    <row r="7" spans="1:2" x14ac:dyDescent="0.35">
      <c r="B7" s="40"/>
    </row>
    <row r="8" spans="1:2" x14ac:dyDescent="0.35">
      <c r="B8" s="41"/>
    </row>
    <row r="9" spans="1:2" x14ac:dyDescent="0.35">
      <c r="A9" s="9" t="s">
        <v>13</v>
      </c>
      <c r="B9" s="31"/>
    </row>
    <row r="10" spans="1:2" ht="15" thickBot="1" x14ac:dyDescent="0.4">
      <c r="A10" s="9"/>
      <c r="B10" s="31"/>
    </row>
    <row r="11" spans="1:2" x14ac:dyDescent="0.35">
      <c r="A11" s="11" t="s">
        <v>16</v>
      </c>
      <c r="B11" s="37">
        <f>Összesítés!C13</f>
        <v>8</v>
      </c>
    </row>
    <row r="12" spans="1:2" x14ac:dyDescent="0.35">
      <c r="A12" s="3" t="s">
        <v>18</v>
      </c>
      <c r="B12" s="38">
        <f>Összesítés!B14</f>
        <v>14333682.333333334</v>
      </c>
    </row>
    <row r="13" spans="1:2" x14ac:dyDescent="0.35">
      <c r="A13" s="3" t="s">
        <v>19</v>
      </c>
      <c r="B13" s="38">
        <f>Összesítés!B15</f>
        <v>147570.33333333334</v>
      </c>
    </row>
    <row r="14" spans="1:2" ht="15" thickBot="1" x14ac:dyDescent="0.4">
      <c r="A14" s="5" t="s">
        <v>20</v>
      </c>
      <c r="B14" s="39">
        <f>Összesítés!B16</f>
        <v>104509</v>
      </c>
    </row>
    <row r="15" spans="1:2" x14ac:dyDescent="0.35">
      <c r="B15" s="40"/>
    </row>
    <row r="16" spans="1:2" x14ac:dyDescent="0.35">
      <c r="B16" s="40"/>
    </row>
    <row r="17" spans="1:2" x14ac:dyDescent="0.35">
      <c r="A17" s="9" t="s">
        <v>7</v>
      </c>
      <c r="B17" s="42"/>
    </row>
    <row r="18" spans="1:2" ht="15" thickBot="1" x14ac:dyDescent="0.4">
      <c r="B18" s="41"/>
    </row>
    <row r="19" spans="1:2" x14ac:dyDescent="0.35">
      <c r="A19" s="47" t="s">
        <v>6</v>
      </c>
      <c r="B19" s="48"/>
    </row>
    <row r="20" spans="1:2" x14ac:dyDescent="0.35">
      <c r="A20" s="3" t="s">
        <v>16</v>
      </c>
      <c r="B20" s="38">
        <f>Összesítés!B22</f>
        <v>34</v>
      </c>
    </row>
    <row r="21" spans="1:2" ht="15" thickBot="1" x14ac:dyDescent="0.4">
      <c r="A21" s="5" t="s">
        <v>21</v>
      </c>
      <c r="B21" s="39">
        <f>Összesítés!B23</f>
        <v>8615241.666666666</v>
      </c>
    </row>
    <row r="24" spans="1:2" x14ac:dyDescent="0.35">
      <c r="A24" s="31" t="s">
        <v>38</v>
      </c>
    </row>
    <row r="25" spans="1:2" ht="15" thickBot="1" x14ac:dyDescent="0.4"/>
    <row r="26" spans="1:2" x14ac:dyDescent="0.35">
      <c r="A26" s="47" t="s">
        <v>6</v>
      </c>
      <c r="B26" s="48"/>
    </row>
    <row r="27" spans="1:2" x14ac:dyDescent="0.35">
      <c r="A27" s="3" t="s">
        <v>16</v>
      </c>
      <c r="B27" s="38">
        <f>Összesítés!E29</f>
        <v>3</v>
      </c>
    </row>
    <row r="28" spans="1:2" ht="15" thickBot="1" x14ac:dyDescent="0.4">
      <c r="A28" s="5" t="s">
        <v>21</v>
      </c>
      <c r="B28" s="39">
        <f>Összesítés!B30</f>
        <v>200000</v>
      </c>
    </row>
  </sheetData>
  <mergeCells count="2">
    <mergeCell ref="A19:B19"/>
    <mergeCell ref="A26:B26"/>
  </mergeCells>
  <pageMargins left="0.7" right="0.7" top="0.75" bottom="0.75" header="0.3" footer="0.3"/>
  <pageSetup paperSize="9" scale="93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3:AA32"/>
  <sheetViews>
    <sheetView zoomScale="70" zoomScaleNormal="70" workbookViewId="0">
      <pane xSplit="1" topLeftCell="B1" activePane="topRight" state="frozen"/>
      <selection pane="topRight" activeCell="B6" sqref="B6"/>
    </sheetView>
  </sheetViews>
  <sheetFormatPr defaultRowHeight="14.5" x14ac:dyDescent="0.35"/>
  <cols>
    <col min="1" max="1" width="61" customWidth="1"/>
    <col min="2" max="2" width="35.453125" customWidth="1"/>
    <col min="3" max="3" width="29.1796875" customWidth="1"/>
    <col min="4" max="4" width="28.54296875" customWidth="1"/>
    <col min="5" max="5" width="29.26953125" customWidth="1"/>
    <col min="6" max="6" width="27" customWidth="1"/>
    <col min="7" max="8" width="28.54296875" customWidth="1"/>
    <col min="9" max="9" width="26.453125" customWidth="1"/>
    <col min="10" max="10" width="27.81640625" customWidth="1"/>
    <col min="11" max="11" width="31.81640625" customWidth="1"/>
    <col min="12" max="12" width="26.81640625" customWidth="1"/>
    <col min="13" max="13" width="24.453125" customWidth="1"/>
    <col min="14" max="14" width="19" customWidth="1"/>
    <col min="15" max="17" width="19.54296875" customWidth="1"/>
    <col min="18" max="21" width="17" customWidth="1"/>
    <col min="22" max="26" width="16.1796875" customWidth="1"/>
  </cols>
  <sheetData>
    <row r="3" spans="1:26" x14ac:dyDescent="0.3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6" x14ac:dyDescent="0.35">
      <c r="O4" s="8"/>
    </row>
    <row r="5" spans="1:26" x14ac:dyDescent="0.35">
      <c r="A5" s="8"/>
      <c r="B5" s="8" t="s">
        <v>69</v>
      </c>
      <c r="C5" s="8" t="s">
        <v>66</v>
      </c>
      <c r="D5" s="8" t="s">
        <v>65</v>
      </c>
      <c r="E5" s="8" t="s">
        <v>61</v>
      </c>
      <c r="F5" s="8" t="s">
        <v>60</v>
      </c>
      <c r="G5" s="8" t="s">
        <v>58</v>
      </c>
      <c r="H5" s="8" t="s">
        <v>55</v>
      </c>
      <c r="I5" s="8" t="s">
        <v>56</v>
      </c>
      <c r="J5" s="8" t="s">
        <v>51</v>
      </c>
      <c r="K5" s="8" t="s">
        <v>49</v>
      </c>
      <c r="L5" s="8" t="s">
        <v>48</v>
      </c>
      <c r="M5" s="8" t="s">
        <v>45</v>
      </c>
      <c r="N5" s="8" t="s">
        <v>43</v>
      </c>
      <c r="O5" s="8" t="s">
        <v>41</v>
      </c>
      <c r="P5" s="8" t="s">
        <v>37</v>
      </c>
      <c r="Q5" s="8" t="s">
        <v>34</v>
      </c>
      <c r="R5" s="8" t="s">
        <v>31</v>
      </c>
      <c r="S5" s="8" t="s">
        <v>32</v>
      </c>
      <c r="T5" s="8" t="s">
        <v>33</v>
      </c>
      <c r="U5" s="8" t="s">
        <v>27</v>
      </c>
      <c r="V5" s="8" t="s">
        <v>2</v>
      </c>
      <c r="W5" s="8" t="s">
        <v>3</v>
      </c>
      <c r="X5" s="8" t="s">
        <v>9</v>
      </c>
      <c r="Y5" s="8" t="s">
        <v>5</v>
      </c>
      <c r="Z5" s="8" t="s">
        <v>4</v>
      </c>
    </row>
    <row r="6" spans="1:26" x14ac:dyDescent="0.35">
      <c r="A6" s="43" t="s">
        <v>67</v>
      </c>
      <c r="B6" s="20">
        <v>70</v>
      </c>
      <c r="C6" s="20">
        <v>70</v>
      </c>
      <c r="D6" s="20">
        <v>69</v>
      </c>
      <c r="E6" s="20">
        <v>68</v>
      </c>
      <c r="F6" s="20">
        <v>69</v>
      </c>
      <c r="G6" s="20">
        <v>72</v>
      </c>
      <c r="H6" s="20">
        <v>74</v>
      </c>
      <c r="I6" s="20">
        <v>71</v>
      </c>
      <c r="J6" s="20">
        <v>71</v>
      </c>
      <c r="K6" s="20">
        <v>69</v>
      </c>
      <c r="L6" s="20">
        <v>69</v>
      </c>
      <c r="M6" s="20">
        <v>67</v>
      </c>
      <c r="N6" s="25">
        <v>67</v>
      </c>
      <c r="O6" s="25">
        <v>65</v>
      </c>
      <c r="P6" s="25">
        <v>64</v>
      </c>
      <c r="Q6" s="25">
        <v>60</v>
      </c>
      <c r="R6" s="25">
        <v>62</v>
      </c>
      <c r="S6" s="25">
        <v>65</v>
      </c>
      <c r="T6" s="25">
        <v>66</v>
      </c>
      <c r="U6" s="2">
        <v>65</v>
      </c>
      <c r="V6" s="2">
        <v>65</v>
      </c>
      <c r="W6" s="2">
        <v>66</v>
      </c>
      <c r="X6" s="2">
        <v>67</v>
      </c>
      <c r="Y6" s="2">
        <v>66</v>
      </c>
      <c r="Z6" s="2">
        <v>66</v>
      </c>
    </row>
    <row r="7" spans="1:26" x14ac:dyDescent="0.35">
      <c r="A7" s="20" t="s">
        <v>15</v>
      </c>
      <c r="B7" s="25">
        <f>+(278423343+22586470+1450327+26430046+10389553+1212625+127289+319066+184893+600000+18498887+141000+2475200+1962000+1542500+700000+374138+152000)/3</f>
        <v>122523112.33333333</v>
      </c>
      <c r="C7" s="25">
        <f>+(255196964+39960729+433519+1663200+45246324+12274047+36857533)/3</f>
        <v>130544105.33333333</v>
      </c>
      <c r="D7" s="25">
        <f>+(258067894+20456022+643965+44542925+10919335+33680274)/3</f>
        <v>122770138.33333333</v>
      </c>
      <c r="E7" s="25">
        <f>+(264042436+27456709+145530+8137250+30230605+11851844+1230776+126489+204614+7144000+221266)/3</f>
        <v>116930506.33333333</v>
      </c>
      <c r="F7" s="25">
        <f>+(249294075+15137733+1227836+25818125-46965+2700500+26671279-483010-1246410-964450+11479579)/3</f>
        <v>109862764</v>
      </c>
      <c r="G7" s="25">
        <f>+(228085480+35467105+1164634+19953950+47194553-246400-356286+1899832+610463+8560000+392333+292056+1018492+10888669)/3</f>
        <v>118308293.66666667</v>
      </c>
      <c r="H7" s="25">
        <f>+(242555477+24510346+858098+1663200+50426941+601368+24000+299814+119609+670516+1860000+2482796+6038560)/3</f>
        <v>110703575</v>
      </c>
      <c r="I7" s="25">
        <f>+(261606066+30996943+1458228+33841232+2652958+58989+15000+1725000+150000+7888000+1000980+122431+157096)/3</f>
        <v>113890974.33333333</v>
      </c>
      <c r="J7" s="25">
        <f>+(254131479+25054546+1251972+3570000+21503630+1628108+197200+440846+696345+12274449)/3</f>
        <v>106916191.66666667</v>
      </c>
      <c r="K7" s="25">
        <f>+(216040469+37572261+219191+39427259+10844121+752107+8304000+874058+593541+2863896)/3</f>
        <v>105830301</v>
      </c>
      <c r="L7" s="25">
        <f>+(226381873+28641756+369713+36064096-112000+78000+1555000+197000+46810+6171198+2413099+700398+1262485+280879+704082+187944)/3</f>
        <v>101647444.33333333</v>
      </c>
      <c r="M7" s="25">
        <f>+(247206477+34545814+605111+17736798+41989+14838+7756000+216216+215136+1385774+1840000)/3</f>
        <v>103854717.66666667</v>
      </c>
      <c r="N7" s="25">
        <f>+(232235861+31383763+884874+11735037+9881670+745922+161624+410534+742274)/3</f>
        <v>96060519.666666672</v>
      </c>
      <c r="O7" s="25">
        <f>+(170133763+17660099+797071+27206557+9464695+22406701)/3</f>
        <v>82556295.333333328</v>
      </c>
      <c r="P7" s="25">
        <f>+(179448383+68957176+18015707+727155+1639615+126407+48285+882525+379946+5931886+2226323)/3</f>
        <v>92794469.333333328</v>
      </c>
      <c r="Q7" s="25">
        <f>+(187699255+18242878+344586+8674310+686338+968280+7024000+50030+1318750+31670+867045+10735)/3</f>
        <v>75305959</v>
      </c>
      <c r="R7" s="25">
        <f>+(159073724+12109906+753836+9130169+9657711+708498+770000+150019+371112+1390760+1169505+26715+192235+181758)/3</f>
        <v>65228649.333333336</v>
      </c>
      <c r="S7" s="25">
        <f>+(136854372+15385657+70626+27477249+15005661+691394+614445+3103750+1146919)/3</f>
        <v>66783357.666666664</v>
      </c>
      <c r="T7" s="25">
        <f>+(144771340+11055248+73333+14611806+10612006+629823+477855+114495+1049750+39316+1346705+709785)/3</f>
        <v>61830487.333333336</v>
      </c>
      <c r="U7" s="2">
        <f>+(144877420+8933035+13866187+16294438+650370+520945+471250+56635+1338865+683500)/3</f>
        <v>62564215</v>
      </c>
      <c r="V7" s="2">
        <f>+(135400544+10781472+615445+588349+137395+7120+527058+110672+58512+1122435+647965+7805085+8854542)/3</f>
        <v>55552198</v>
      </c>
      <c r="W7" s="2">
        <f>+(118300604+8393496+676836+7660+2471520+46811+52459+1146905+142330+160345+25394333+25984230)/3</f>
        <v>60925843</v>
      </c>
      <c r="X7" s="2">
        <f>+(130246991+668942+58975+1766918+3204+18630+1349670+248055+4646984+12070599+372951+22357912)/3</f>
        <v>57936610.333333336</v>
      </c>
      <c r="Y7" s="2">
        <f>+(129214818+1425+689719+449155+2142601+1644680+237910+87775+6449939+7679655+350024+24226402)/3</f>
        <v>57724701</v>
      </c>
      <c r="Z7" s="2">
        <f>+(119577490+6504774+251448+8685979+7456240+20259200-475000-16104000-2088600-600000)/3</f>
        <v>47822510.333333336</v>
      </c>
    </row>
    <row r="8" spans="1:26" x14ac:dyDescent="0.35">
      <c r="N8" s="30"/>
      <c r="V8" s="1"/>
      <c r="W8" s="1"/>
      <c r="X8" s="1"/>
      <c r="Y8" s="1"/>
      <c r="Z8" s="1"/>
    </row>
    <row r="9" spans="1:26" x14ac:dyDescent="0.35">
      <c r="V9" s="1"/>
      <c r="W9" s="1"/>
      <c r="X9" s="1"/>
      <c r="Y9" s="1"/>
      <c r="Z9" s="1"/>
    </row>
    <row r="10" spans="1:26" x14ac:dyDescent="0.3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7" customFormat="1" x14ac:dyDescent="0.35">
      <c r="A12" s="8"/>
      <c r="B12" s="8" t="s">
        <v>69</v>
      </c>
      <c r="C12" s="8" t="s">
        <v>66</v>
      </c>
      <c r="D12" s="8" t="s">
        <v>65</v>
      </c>
      <c r="E12" s="8" t="s">
        <v>61</v>
      </c>
      <c r="F12" s="8" t="s">
        <v>60</v>
      </c>
      <c r="G12" s="8" t="s">
        <v>58</v>
      </c>
      <c r="H12" s="8" t="s">
        <v>55</v>
      </c>
      <c r="I12" s="8" t="s">
        <v>56</v>
      </c>
      <c r="J12" s="8" t="s">
        <v>51</v>
      </c>
      <c r="K12" s="8" t="s">
        <v>49</v>
      </c>
      <c r="L12" s="8" t="s">
        <v>48</v>
      </c>
      <c r="M12" s="8" t="s">
        <v>45</v>
      </c>
      <c r="N12" s="8" t="s">
        <v>43</v>
      </c>
      <c r="O12" s="8" t="s">
        <v>41</v>
      </c>
      <c r="P12" s="8" t="s">
        <v>37</v>
      </c>
      <c r="Q12" s="8" t="s">
        <v>34</v>
      </c>
      <c r="R12" s="8" t="s">
        <v>31</v>
      </c>
      <c r="S12" s="8" t="s">
        <v>32</v>
      </c>
      <c r="T12" s="8" t="s">
        <v>33</v>
      </c>
      <c r="U12" s="8" t="s">
        <v>27</v>
      </c>
      <c r="V12" s="8" t="s">
        <v>2</v>
      </c>
      <c r="W12" s="8" t="s">
        <v>3</v>
      </c>
      <c r="X12" s="8" t="s">
        <v>9</v>
      </c>
      <c r="Y12" s="8" t="s">
        <v>5</v>
      </c>
      <c r="Z12" s="8" t="s">
        <v>4</v>
      </c>
    </row>
    <row r="13" spans="1:26" x14ac:dyDescent="0.35">
      <c r="A13" s="20" t="s">
        <v>1</v>
      </c>
      <c r="B13" s="20">
        <v>8</v>
      </c>
      <c r="C13" s="20">
        <v>8</v>
      </c>
      <c r="D13" s="20">
        <v>8</v>
      </c>
      <c r="E13" s="20">
        <v>8</v>
      </c>
      <c r="F13" s="20">
        <v>6</v>
      </c>
      <c r="G13" s="20">
        <v>7</v>
      </c>
      <c r="H13" s="20">
        <v>7</v>
      </c>
      <c r="I13" s="20">
        <v>7</v>
      </c>
      <c r="J13" s="20">
        <v>7</v>
      </c>
      <c r="K13" s="20">
        <v>7</v>
      </c>
      <c r="L13" s="20">
        <v>7</v>
      </c>
      <c r="M13" s="20">
        <v>8</v>
      </c>
      <c r="N13" s="25">
        <v>8</v>
      </c>
      <c r="O13" s="25">
        <v>8</v>
      </c>
      <c r="P13" s="25">
        <v>8</v>
      </c>
      <c r="Q13" s="25">
        <v>8</v>
      </c>
      <c r="R13" s="25">
        <v>9</v>
      </c>
      <c r="S13" s="25">
        <v>10</v>
      </c>
      <c r="T13" s="25">
        <v>10</v>
      </c>
      <c r="U13" s="2">
        <v>10</v>
      </c>
      <c r="V13" s="2">
        <v>10</v>
      </c>
      <c r="W13" s="2">
        <v>10</v>
      </c>
      <c r="X13" s="2">
        <v>10</v>
      </c>
      <c r="Y13" s="2">
        <v>10</v>
      </c>
      <c r="Z13" s="2">
        <v>10</v>
      </c>
    </row>
    <row r="14" spans="1:26" x14ac:dyDescent="0.35">
      <c r="A14" s="20" t="s">
        <v>10</v>
      </c>
      <c r="B14" s="25">
        <f>+(36493145+3915080+2592822)/3</f>
        <v>14333682.333333334</v>
      </c>
      <c r="C14" s="25">
        <f>+(34579089+3503695+6492311)/3</f>
        <v>14858365</v>
      </c>
      <c r="D14" s="25">
        <f>+(31849813+3362200+6954866)/3</f>
        <v>14055626.333333334</v>
      </c>
      <c r="E14" s="25">
        <f>+(31241471+4817232+2560093)/3</f>
        <v>12872932</v>
      </c>
      <c r="F14" s="25">
        <f>+(26205315+4365450+2355929)/3</f>
        <v>10975564.666666666</v>
      </c>
      <c r="G14" s="25">
        <f>+(24653168+4389625+246667+4511482)/3</f>
        <v>11266980.666666666</v>
      </c>
      <c r="H14" s="25">
        <f>+(24279367+4612962+206023+5333768)/3</f>
        <v>11477373.333333334</v>
      </c>
      <c r="I14" s="25">
        <f>+(26849790+4634218+2757663)/3</f>
        <v>11413890.333333334</v>
      </c>
      <c r="J14" s="25">
        <f>+(28399733+4330050+1207720)/3</f>
        <v>11312501</v>
      </c>
      <c r="K14" s="25">
        <f>+(23371665+4144500+2446335)/3</f>
        <v>9987500</v>
      </c>
      <c r="L14" s="25">
        <f>+(21563454+4122045+4254546)/3</f>
        <v>9980015</v>
      </c>
      <c r="M14" s="25">
        <f>+(25397934+810066+4271136)/3</f>
        <v>10159712</v>
      </c>
      <c r="N14" s="25">
        <f>+(26478395+1229605+31000+750000)/3</f>
        <v>9496333.333333334</v>
      </c>
      <c r="O14" s="25">
        <f>+(20542397+1296732+4039152)/3</f>
        <v>8626093.666666666</v>
      </c>
      <c r="P14" s="25">
        <f>+(20514139+7986348)/3</f>
        <v>9500162.333333334</v>
      </c>
      <c r="Q14" s="25">
        <f>+(23967364+157636)/3</f>
        <v>8041666.666666667</v>
      </c>
      <c r="R14" s="25">
        <f>+(22156371+1536129)/3</f>
        <v>7897500</v>
      </c>
      <c r="S14" s="25">
        <f>+(22626060+1268940)/3</f>
        <v>7965000</v>
      </c>
      <c r="T14" s="25">
        <f>+(19424430+2268570)/3</f>
        <v>7231000</v>
      </c>
      <c r="U14" s="2">
        <f>+(21661133+1147867)/3</f>
        <v>7603000</v>
      </c>
      <c r="V14" s="2">
        <f>+(22238549+735451)/3</f>
        <v>7658000</v>
      </c>
      <c r="W14" s="2">
        <f>+(16370893+2653607)/3</f>
        <v>6341500</v>
      </c>
      <c r="X14" s="2">
        <f>+(17788410+2931590)/3</f>
        <v>6906666.666666667</v>
      </c>
      <c r="Y14" s="2">
        <f>+(18347696+934304)/3</f>
        <v>6427333.333333333</v>
      </c>
      <c r="Z14" s="2">
        <f>+(18593225+630775)/3</f>
        <v>6408000</v>
      </c>
    </row>
    <row r="15" spans="1:26" x14ac:dyDescent="0.35">
      <c r="A15" s="20" t="s">
        <v>11</v>
      </c>
      <c r="B15" s="25">
        <f>+(240000+144902+57809)/3</f>
        <v>147570.33333333334</v>
      </c>
      <c r="C15" s="25">
        <f>+(240000+1121200)/3</f>
        <v>453733.33333333331</v>
      </c>
      <c r="D15" s="25">
        <f>+(240000+1130700)/3</f>
        <v>456900</v>
      </c>
      <c r="E15" s="25">
        <f>+(240000+46109+115581+216000)/3</f>
        <v>205896.66666666666</v>
      </c>
      <c r="F15" s="25">
        <f>+(160000+166716)/3</f>
        <v>108905.33333333333</v>
      </c>
      <c r="G15" s="25">
        <f>+(210000+48000+394349)/3</f>
        <v>217449.66666666666</v>
      </c>
      <c r="H15" s="25">
        <f>+(210000+180294+71929)/3</f>
        <v>154074.33333333334</v>
      </c>
      <c r="I15" s="25">
        <f>+(210000+96000+157096+62671)/3</f>
        <v>175255.66666666666</v>
      </c>
      <c r="J15" s="25">
        <f>+(210000+227100+90601+267000)/3</f>
        <v>264900.33333333331</v>
      </c>
      <c r="K15" s="25">
        <f>+(210000+87000+436000+552173+220284)/3</f>
        <v>501819</v>
      </c>
      <c r="L15" s="25">
        <f>+(210000+817000+779579)/3</f>
        <v>602193</v>
      </c>
      <c r="M15" s="25">
        <f>+(210000+2967251)/3</f>
        <v>1059083.6666666667</v>
      </c>
      <c r="N15" s="25">
        <f>+(230000+3826409+116000+414200+245568)/3</f>
        <v>1610725.6666666667</v>
      </c>
      <c r="O15" s="25">
        <f>+(2573200+865780+210000)/3</f>
        <v>1216326.6666666667</v>
      </c>
      <c r="P15" s="25">
        <f>+(7986348+434904+240000)/3</f>
        <v>2887084</v>
      </c>
      <c r="Q15" s="25">
        <f>+(4031359+241500+34500)/3</f>
        <v>1435786.3333333333</v>
      </c>
      <c r="R15" s="25">
        <f>+(4110348+250000+30000)/3</f>
        <v>1463449.3333333333</v>
      </c>
      <c r="S15" s="25">
        <f>+(4149000+30000+450000)/3</f>
        <v>1543000</v>
      </c>
      <c r="T15" s="25">
        <f>+(4149000+390000+30000)/3</f>
        <v>1523000</v>
      </c>
      <c r="U15" s="2">
        <f>+(4012668+94000+240000+60000)/3</f>
        <v>1468889.3333333333</v>
      </c>
      <c r="V15" s="2">
        <f>4498500/3</f>
        <v>1499500</v>
      </c>
      <c r="W15" s="2">
        <f>+(886181+240000+184000+3291000)/3</f>
        <v>1533727</v>
      </c>
      <c r="X15" s="2">
        <f>+(851609+4007322-225183-197139)/3</f>
        <v>1478869.6666666667</v>
      </c>
      <c r="Y15" s="2">
        <f>+(828011+4257565-220296-335070)/3</f>
        <v>1510070</v>
      </c>
      <c r="Z15" s="2">
        <f>+(843091+3906366-181686-252879)/3</f>
        <v>1438297.3333333333</v>
      </c>
    </row>
    <row r="16" spans="1:26" x14ac:dyDescent="0.35">
      <c r="A16" s="20" t="s">
        <v>12</v>
      </c>
      <c r="B16" s="25">
        <f>(20768+292759)/3</f>
        <v>104509</v>
      </c>
      <c r="C16" s="25">
        <f>(216020+138232+289663)/3</f>
        <v>214638.33333333334</v>
      </c>
      <c r="D16" s="25">
        <f>(54133+128684+295850)/3</f>
        <v>159555.66666666666</v>
      </c>
      <c r="E16" s="25">
        <f>(357062+173582)/3</f>
        <v>176881.33333333334</v>
      </c>
      <c r="F16" s="25">
        <f>24992/3</f>
        <v>8330.6666666666661</v>
      </c>
      <c r="G16" s="25">
        <f>35716/3</f>
        <v>11905.333333333334</v>
      </c>
      <c r="H16" s="25">
        <f>61780/3</f>
        <v>20593.333333333332</v>
      </c>
      <c r="I16" s="25">
        <f>90818/3</f>
        <v>30272.666666666668</v>
      </c>
      <c r="J16" s="25">
        <f>91440/3</f>
        <v>30480</v>
      </c>
      <c r="K16" s="25">
        <f>25080/3</f>
        <v>8360</v>
      </c>
      <c r="L16" s="25">
        <f>+(21120)/3</f>
        <v>7040</v>
      </c>
      <c r="M16" s="25">
        <f>+(62995+20780)/3</f>
        <v>27925</v>
      </c>
      <c r="N16" s="25">
        <f>+(131220+112544)/3</f>
        <v>81254.666666666672</v>
      </c>
      <c r="O16" s="25">
        <f>+(78289+145409)/3</f>
        <v>74566</v>
      </c>
      <c r="P16" s="25">
        <f>+(60454+144082)/3</f>
        <v>68178.666666666672</v>
      </c>
      <c r="Q16" s="25">
        <f>+(21268+35032+192000)/3</f>
        <v>82766.666666666672</v>
      </c>
      <c r="R16" s="25">
        <f>+(108411+96293+371112+150019+25057)/3</f>
        <v>250297.33333333334</v>
      </c>
      <c r="S16" s="25">
        <f>+(204396+140984+88000+1173250)/3</f>
        <v>535543.33333333337</v>
      </c>
      <c r="T16" s="25">
        <f>+(351524+146837+195000)/3</f>
        <v>231120.33333333334</v>
      </c>
      <c r="U16" s="2">
        <f>+(403000+202090+154963)/3</f>
        <v>253351</v>
      </c>
      <c r="V16" s="2">
        <f>+(322803+429558)/3</f>
        <v>250787</v>
      </c>
      <c r="W16" s="2">
        <f>+(667834+379009+153149)/3</f>
        <v>399997.33333333331</v>
      </c>
      <c r="X16" s="2">
        <f>+(476482+197139+225183)/3</f>
        <v>299601.33333333331</v>
      </c>
      <c r="Y16" s="2">
        <f>+(797373+220296+335070)/3</f>
        <v>450913</v>
      </c>
      <c r="Z16" s="2">
        <f>+(401910+252879+181686)/3</f>
        <v>278825</v>
      </c>
    </row>
    <row r="17" spans="1:27" x14ac:dyDescent="0.35">
      <c r="V17" s="1"/>
      <c r="W17" s="1"/>
      <c r="X17" s="1"/>
      <c r="Y17" s="1"/>
      <c r="Z17" s="1"/>
    </row>
    <row r="18" spans="1:27" x14ac:dyDescent="0.35">
      <c r="V18" s="1"/>
      <c r="W18" s="1"/>
      <c r="X18" s="1"/>
      <c r="Y18" s="1"/>
      <c r="Z18" s="1"/>
    </row>
    <row r="19" spans="1:27" x14ac:dyDescent="0.3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V19" s="1"/>
      <c r="W19" s="1"/>
      <c r="X19" s="1"/>
      <c r="Y19" s="1"/>
      <c r="Z19" s="1"/>
    </row>
    <row r="20" spans="1:27" x14ac:dyDescent="0.35">
      <c r="V20" s="1"/>
      <c r="W20" s="1"/>
      <c r="X20" s="1"/>
      <c r="Y20" s="1"/>
      <c r="Z20" s="1"/>
    </row>
    <row r="21" spans="1:27" x14ac:dyDescent="0.35">
      <c r="A21" s="24" t="s">
        <v>6</v>
      </c>
      <c r="B21" s="8" t="s">
        <v>69</v>
      </c>
      <c r="C21" s="8" t="s">
        <v>66</v>
      </c>
      <c r="D21" s="8" t="s">
        <v>65</v>
      </c>
      <c r="E21" s="8" t="s">
        <v>61</v>
      </c>
      <c r="F21" s="8" t="s">
        <v>60</v>
      </c>
      <c r="G21" s="8" t="s">
        <v>58</v>
      </c>
      <c r="H21" s="8" t="s">
        <v>55</v>
      </c>
      <c r="I21" s="8" t="s">
        <v>56</v>
      </c>
      <c r="J21" s="8" t="s">
        <v>51</v>
      </c>
      <c r="K21" s="8" t="s">
        <v>49</v>
      </c>
      <c r="L21" s="8" t="s">
        <v>48</v>
      </c>
      <c r="M21" s="8" t="s">
        <v>45</v>
      </c>
      <c r="N21" s="8" t="s">
        <v>43</v>
      </c>
      <c r="O21" s="8" t="s">
        <v>41</v>
      </c>
      <c r="P21" s="8" t="s">
        <v>37</v>
      </c>
      <c r="Q21" s="8" t="s">
        <v>34</v>
      </c>
      <c r="R21" s="8" t="s">
        <v>31</v>
      </c>
      <c r="S21" s="8" t="s">
        <v>32</v>
      </c>
      <c r="T21" s="8" t="s">
        <v>33</v>
      </c>
      <c r="U21" s="8" t="s">
        <v>27</v>
      </c>
      <c r="V21" s="8" t="s">
        <v>2</v>
      </c>
      <c r="W21" s="8" t="s">
        <v>3</v>
      </c>
      <c r="X21" s="8" t="s">
        <v>9</v>
      </c>
      <c r="Y21" s="8" t="s">
        <v>5</v>
      </c>
      <c r="Z21" s="8" t="s">
        <v>4</v>
      </c>
    </row>
    <row r="22" spans="1:27" x14ac:dyDescent="0.35">
      <c r="A22" s="20" t="s">
        <v>8</v>
      </c>
      <c r="B22" s="20">
        <v>34</v>
      </c>
      <c r="C22" s="20">
        <v>38</v>
      </c>
      <c r="D22" s="20">
        <v>41</v>
      </c>
      <c r="E22" s="20">
        <v>43</v>
      </c>
      <c r="F22" s="20">
        <v>41</v>
      </c>
      <c r="G22" s="20">
        <v>37</v>
      </c>
      <c r="H22" s="20">
        <v>40</v>
      </c>
      <c r="I22" s="20">
        <v>32</v>
      </c>
      <c r="J22" s="20">
        <v>38</v>
      </c>
      <c r="K22" s="20">
        <v>29</v>
      </c>
      <c r="L22" s="20">
        <v>34</v>
      </c>
      <c r="M22" s="20">
        <v>37</v>
      </c>
      <c r="N22" s="25">
        <v>37</v>
      </c>
      <c r="O22" s="25">
        <v>28</v>
      </c>
      <c r="P22" s="25">
        <f>25+10</f>
        <v>35</v>
      </c>
      <c r="Q22" s="25">
        <v>33</v>
      </c>
      <c r="R22" s="25">
        <v>13</v>
      </c>
      <c r="S22" s="25">
        <v>20</v>
      </c>
      <c r="T22" s="25">
        <v>18</v>
      </c>
      <c r="U22" s="2">
        <v>35</v>
      </c>
      <c r="V22" s="2">
        <v>10</v>
      </c>
      <c r="W22" s="2">
        <v>10</v>
      </c>
      <c r="X22" s="2">
        <v>10</v>
      </c>
      <c r="Y22" s="2">
        <v>9</v>
      </c>
      <c r="Z22" s="2">
        <v>9</v>
      </c>
    </row>
    <row r="23" spans="1:27" x14ac:dyDescent="0.35">
      <c r="A23" s="20" t="s">
        <v>14</v>
      </c>
      <c r="B23" s="25">
        <f>+(18498887+141000+2475200+1962000+1542500+700000+374138+152000)/3</f>
        <v>8615241.666666666</v>
      </c>
      <c r="C23" s="25">
        <f>+(450000+750000+2015500+2005600+2502400+141000+19439962)/3</f>
        <v>9101487.333333334</v>
      </c>
      <c r="D23" s="25">
        <f>+(450000+750000+7169400+2005600+2502400+141000+18533375)/3</f>
        <v>10517258.333333334</v>
      </c>
      <c r="E23" s="25">
        <f>+(200000+800000+9869500+1983800+2475200+141000+17029040)/3</f>
        <v>10832846.666666666</v>
      </c>
      <c r="F23" s="25">
        <f>+(300000+141000+2013500+15165150+1962000+2448000)/3</f>
        <v>7343216.666666667</v>
      </c>
      <c r="G23" s="25">
        <f>+(300000+569250+2005600+2502400+47000+13959058)/3</f>
        <v>6461102.666666667</v>
      </c>
      <c r="H23" s="25">
        <f>+(300000+3745000+1983800+2502400+14125258)/3</f>
        <v>7552152.666666667</v>
      </c>
      <c r="I23" s="25">
        <f>+(300000+8328500+810750+1983800+2475200+15687150)/3</f>
        <v>9861800</v>
      </c>
      <c r="J23" s="25">
        <f>+(300000+450000+1896000+2448000+13935200)/3</f>
        <v>6343066.666666667</v>
      </c>
      <c r="K23" s="25">
        <f>+(186000+261000+2005600+2502400+12755900)/3</f>
        <v>5903633.333333333</v>
      </c>
      <c r="L23" s="25">
        <f>+(186000+162000+5644800+2005600+132000+2502400+12105550)/3</f>
        <v>7579450</v>
      </c>
      <c r="M23" s="25">
        <f>+(2790000+14092000+324000+1983800+2475400)/3</f>
        <v>7221733.333333333</v>
      </c>
      <c r="N23" s="25">
        <f>+(93000+1775000+48600+1962000+2448000+15500+7164400+464000)/3</f>
        <v>4656833.333333333</v>
      </c>
      <c r="O23" s="25">
        <f>11736548/3</f>
        <v>3912182.6666666665</v>
      </c>
      <c r="P23" s="25">
        <f>+(224000+2924400+1983800+2502400+279000+1164400)/3</f>
        <v>3026000</v>
      </c>
      <c r="Q23" s="25">
        <f>+(136200+172800+5004600+1983800+2475200+279000+1866000)/3</f>
        <v>3972533.3333333335</v>
      </c>
      <c r="R23" s="25">
        <f>+(223600+120600+1962000+2502400+600000)/3</f>
        <v>1802866.6666666667</v>
      </c>
      <c r="S23" s="25">
        <f>+(220000+2005600+2502400+7943000)/3</f>
        <v>4223666.666666667</v>
      </c>
      <c r="T23" s="25">
        <f>+(870600+2502400+1983800+3240200)/3</f>
        <v>2865666.6666666665</v>
      </c>
      <c r="U23" s="2">
        <f>+(7416400+2023400+2435600+600000)/3</f>
        <v>4158466.6666666665</v>
      </c>
      <c r="V23" s="2">
        <f>+(629000+2052000+1665300+1245600)/3</f>
        <v>1863966.6666666667</v>
      </c>
      <c r="W23" s="2">
        <f>+(1505000+1683600+2097600+9618800)/3</f>
        <v>4968333.333333333</v>
      </c>
      <c r="X23" s="2">
        <f>+(2755000+1665300+2052000+1122500)/3</f>
        <v>2531600</v>
      </c>
      <c r="Y23" s="2">
        <f>+(1504000+1665300+2074800+1770000)/3</f>
        <v>2338033.3333333335</v>
      </c>
      <c r="Z23" s="2">
        <f>+(475000+1610400+2088600+600000)/3</f>
        <v>1591333.3333333333</v>
      </c>
    </row>
    <row r="24" spans="1:27" x14ac:dyDescent="0.35">
      <c r="R24" s="19"/>
      <c r="S24" s="19"/>
      <c r="T24" s="19"/>
      <c r="U24" s="19"/>
      <c r="V24" s="19"/>
      <c r="W24" s="19"/>
      <c r="X24" s="19"/>
      <c r="Y24" s="19"/>
      <c r="Z24" s="19"/>
    </row>
    <row r="26" spans="1:27" x14ac:dyDescent="0.35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26"/>
      <c r="K26" s="26"/>
      <c r="L26" s="26"/>
      <c r="M26" s="26"/>
      <c r="N26" s="26"/>
      <c r="Q26" s="27"/>
      <c r="R26" s="27"/>
      <c r="S26" s="27"/>
      <c r="T26" s="27"/>
      <c r="U26" s="27"/>
      <c r="V26" s="28"/>
      <c r="W26" s="28"/>
      <c r="X26" s="28"/>
      <c r="Y26" s="28"/>
      <c r="Z26" s="28"/>
      <c r="AA26" s="27"/>
    </row>
    <row r="27" spans="1:27" x14ac:dyDescent="0.35">
      <c r="A27" s="32"/>
      <c r="B27" s="32"/>
      <c r="C27" s="32"/>
      <c r="D27" s="32"/>
      <c r="E27" s="32"/>
      <c r="F27" s="32"/>
      <c r="G27" s="32"/>
      <c r="H27" s="32"/>
      <c r="I27" s="32"/>
      <c r="O27" s="27"/>
      <c r="P27" s="27"/>
      <c r="Q27" s="27"/>
      <c r="R27" s="27"/>
      <c r="S27" s="27"/>
      <c r="T27" s="27"/>
      <c r="U27" s="27"/>
      <c r="V27" s="28"/>
      <c r="W27" s="28"/>
      <c r="X27" s="28"/>
      <c r="Y27" s="28"/>
      <c r="Z27" s="28"/>
      <c r="AA27" s="27"/>
    </row>
    <row r="28" spans="1:27" x14ac:dyDescent="0.35">
      <c r="A28" s="33" t="s">
        <v>6</v>
      </c>
      <c r="B28" s="8" t="s">
        <v>69</v>
      </c>
      <c r="C28" s="8" t="s">
        <v>66</v>
      </c>
      <c r="D28" s="8" t="s">
        <v>65</v>
      </c>
      <c r="E28" s="8" t="s">
        <v>61</v>
      </c>
      <c r="F28" s="8" t="s">
        <v>60</v>
      </c>
      <c r="G28" s="8" t="s">
        <v>58</v>
      </c>
      <c r="H28" s="8" t="s">
        <v>55</v>
      </c>
      <c r="I28" s="8" t="s">
        <v>56</v>
      </c>
      <c r="J28" s="35" t="s">
        <v>51</v>
      </c>
      <c r="K28" s="35" t="s">
        <v>49</v>
      </c>
      <c r="L28" s="35" t="s">
        <v>48</v>
      </c>
      <c r="M28" s="35" t="s">
        <v>45</v>
      </c>
      <c r="N28" s="35" t="s">
        <v>43</v>
      </c>
      <c r="O28" s="35" t="s">
        <v>41</v>
      </c>
      <c r="P28" s="35" t="s">
        <v>37</v>
      </c>
      <c r="Q28" s="35" t="s">
        <v>34</v>
      </c>
      <c r="R28" s="35" t="s">
        <v>31</v>
      </c>
      <c r="S28" s="35" t="s">
        <v>32</v>
      </c>
      <c r="T28" s="35" t="s">
        <v>33</v>
      </c>
      <c r="U28" s="35" t="s">
        <v>27</v>
      </c>
      <c r="V28" s="35" t="s">
        <v>2</v>
      </c>
      <c r="W28" s="35" t="s">
        <v>3</v>
      </c>
      <c r="X28" s="35" t="s">
        <v>9</v>
      </c>
      <c r="Y28" s="35" t="s">
        <v>5</v>
      </c>
      <c r="Z28" s="35" t="s">
        <v>4</v>
      </c>
      <c r="AA28" s="27"/>
    </row>
    <row r="29" spans="1:27" x14ac:dyDescent="0.35">
      <c r="A29" s="34" t="s">
        <v>8</v>
      </c>
      <c r="B29" s="34">
        <v>3</v>
      </c>
      <c r="C29" s="34">
        <v>3</v>
      </c>
      <c r="D29" s="34">
        <v>3</v>
      </c>
      <c r="E29" s="34">
        <v>3</v>
      </c>
      <c r="F29" s="34">
        <v>3</v>
      </c>
      <c r="G29" s="34">
        <v>3</v>
      </c>
      <c r="H29" s="34">
        <v>3</v>
      </c>
      <c r="I29" s="34">
        <v>3</v>
      </c>
      <c r="J29" s="34">
        <v>3</v>
      </c>
      <c r="K29" s="34">
        <v>3</v>
      </c>
      <c r="L29" s="34">
        <v>3</v>
      </c>
      <c r="M29" s="34">
        <v>3</v>
      </c>
      <c r="N29" s="36">
        <v>3</v>
      </c>
      <c r="O29" s="36">
        <v>3</v>
      </c>
      <c r="P29" s="36">
        <v>3</v>
      </c>
      <c r="Q29" s="36">
        <v>3</v>
      </c>
      <c r="R29" s="36">
        <v>3</v>
      </c>
      <c r="S29" s="36">
        <v>3</v>
      </c>
      <c r="T29" s="36">
        <v>3</v>
      </c>
      <c r="U29" s="44">
        <v>3</v>
      </c>
      <c r="V29" s="44">
        <v>3</v>
      </c>
      <c r="W29" s="44">
        <v>3</v>
      </c>
      <c r="X29" s="44">
        <v>3</v>
      </c>
      <c r="Y29" s="44">
        <v>3</v>
      </c>
      <c r="Z29" s="44">
        <v>3</v>
      </c>
      <c r="AA29" s="27"/>
    </row>
    <row r="30" spans="1:27" x14ac:dyDescent="0.35">
      <c r="A30" s="34" t="s">
        <v>39</v>
      </c>
      <c r="B30" s="36">
        <f>600000/3</f>
        <v>200000</v>
      </c>
      <c r="C30" s="36">
        <f>360000/3</f>
        <v>120000</v>
      </c>
      <c r="D30" s="36">
        <f>360000/3</f>
        <v>120000</v>
      </c>
      <c r="E30" s="36">
        <v>120000</v>
      </c>
      <c r="F30" s="36">
        <v>120000</v>
      </c>
      <c r="G30" s="36">
        <v>120000</v>
      </c>
      <c r="H30" s="36">
        <v>120000</v>
      </c>
      <c r="I30" s="36">
        <v>120000</v>
      </c>
      <c r="J30" s="36">
        <v>120000</v>
      </c>
      <c r="K30" s="36">
        <v>120000</v>
      </c>
      <c r="L30" s="36">
        <v>120000</v>
      </c>
      <c r="M30" s="36">
        <v>120000</v>
      </c>
      <c r="N30" s="36">
        <f>360000/3</f>
        <v>120000</v>
      </c>
      <c r="O30" s="36">
        <v>120000</v>
      </c>
      <c r="P30" s="36">
        <v>120000</v>
      </c>
      <c r="Q30" s="36">
        <v>120000</v>
      </c>
      <c r="R30" s="36">
        <v>160000</v>
      </c>
      <c r="S30" s="36">
        <v>0</v>
      </c>
      <c r="T30" s="36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27"/>
    </row>
    <row r="31" spans="1:27" x14ac:dyDescent="0.35">
      <c r="A31" s="34" t="s">
        <v>12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4">
        <v>0</v>
      </c>
      <c r="K31" s="34">
        <v>0</v>
      </c>
      <c r="L31" s="34">
        <v>0</v>
      </c>
      <c r="M31" s="34">
        <v>0</v>
      </c>
      <c r="N31" s="36">
        <v>0</v>
      </c>
      <c r="O31" s="36">
        <v>0</v>
      </c>
      <c r="P31" s="36">
        <v>0</v>
      </c>
      <c r="Q31" s="36">
        <v>0</v>
      </c>
      <c r="R31" s="36">
        <v>19000</v>
      </c>
      <c r="S31" s="36">
        <v>0</v>
      </c>
      <c r="T31" s="36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27"/>
    </row>
    <row r="32" spans="1:27" x14ac:dyDescent="0.35">
      <c r="O32" s="29"/>
      <c r="P32" s="29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3</vt:i4>
      </vt:variant>
    </vt:vector>
  </HeadingPairs>
  <TitlesOfParts>
    <vt:vector size="29" baseType="lpstr">
      <vt:lpstr>2018. I. név</vt:lpstr>
      <vt:lpstr>2018. II. név</vt:lpstr>
      <vt:lpstr>2018. III. név</vt:lpstr>
      <vt:lpstr>2018. IV. név</vt:lpstr>
      <vt:lpstr>2019. I. negyedév</vt:lpstr>
      <vt:lpstr>2019.II. negyedév</vt:lpstr>
      <vt:lpstr>2019. III. negyedév</vt:lpstr>
      <vt:lpstr>2019. IV. negyedév</vt:lpstr>
      <vt:lpstr>2020. I. negyedév</vt:lpstr>
      <vt:lpstr>2020. II. negyedév</vt:lpstr>
      <vt:lpstr>2020. III. negyedév</vt:lpstr>
      <vt:lpstr>2020.IV. negyedév</vt:lpstr>
      <vt:lpstr>2021. I. negyedév</vt:lpstr>
      <vt:lpstr>2021. II. negyedév</vt:lpstr>
      <vt:lpstr>2021. III. negyedév</vt:lpstr>
      <vt:lpstr>2021.IV.negyedév</vt:lpstr>
      <vt:lpstr>2022.I.negyedév</vt:lpstr>
      <vt:lpstr>2022.II.negyedév</vt:lpstr>
      <vt:lpstr>2022.III.negyedév</vt:lpstr>
      <vt:lpstr>2022.IV.negyedév</vt:lpstr>
      <vt:lpstr>2023.I.negyedév</vt:lpstr>
      <vt:lpstr>2023. II.negyedév</vt:lpstr>
      <vt:lpstr>2023. III.név</vt:lpstr>
      <vt:lpstr>2023.IV.név</vt:lpstr>
      <vt:lpstr>2024.I.név</vt:lpstr>
      <vt:lpstr>Összesítés</vt:lpstr>
      <vt:lpstr>'2023. II.negyedév'!Nyomtatási_terület</vt:lpstr>
      <vt:lpstr>'2023.I.negyedév'!Nyomtatási_terület</vt:lpstr>
      <vt:lpstr>'2023.IV.név'!Nyomtatási_terület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</dc:creator>
  <cp:lastModifiedBy>Bérszámfejtés</cp:lastModifiedBy>
  <dcterms:created xsi:type="dcterms:W3CDTF">2019-04-10T11:46:42Z</dcterms:created>
  <dcterms:modified xsi:type="dcterms:W3CDTF">2024-04-09T08:53:49Z</dcterms:modified>
</cp:coreProperties>
</file>